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55" windowWidth="20610" windowHeight="9915"/>
  </bookViews>
  <sheets>
    <sheet name="Multiple Point Measurement Data" sheetId="1" r:id="rId1"/>
  </sheets>
  <calcPr calcId="125725"/>
</workbook>
</file>

<file path=xl/calcChain.xml><?xml version="1.0" encoding="utf-8"?>
<calcChain xmlns="http://schemas.openxmlformats.org/spreadsheetml/2006/main">
  <c r="L55" i="1"/>
  <c r="M55" s="1"/>
  <c r="F55"/>
  <c r="G55" s="1"/>
  <c r="V54"/>
  <c r="U54"/>
  <c r="T54"/>
  <c r="R54"/>
  <c r="Q54"/>
  <c r="P54"/>
  <c r="V53"/>
  <c r="U53"/>
  <c r="T53"/>
  <c r="R53"/>
  <c r="Q53"/>
  <c r="P53"/>
  <c r="W52"/>
  <c r="V52"/>
  <c r="U52"/>
  <c r="T52"/>
  <c r="R52"/>
  <c r="Q52"/>
  <c r="P52"/>
  <c r="L52"/>
  <c r="M52" s="1"/>
  <c r="F52"/>
  <c r="K46"/>
  <c r="J46"/>
  <c r="I46"/>
  <c r="K45"/>
  <c r="J45"/>
  <c r="I45"/>
  <c r="K44"/>
  <c r="J44"/>
  <c r="I44"/>
  <c r="F44"/>
  <c r="G44" s="1"/>
  <c r="R43"/>
  <c r="Q43"/>
  <c r="P43"/>
  <c r="K43"/>
  <c r="V43" s="1"/>
  <c r="J43"/>
  <c r="U43" s="1"/>
  <c r="I43"/>
  <c r="R42"/>
  <c r="Q42"/>
  <c r="P42"/>
  <c r="K42"/>
  <c r="V42" s="1"/>
  <c r="J42"/>
  <c r="U42" s="1"/>
  <c r="I42"/>
  <c r="T42" s="1"/>
  <c r="R41"/>
  <c r="Q41"/>
  <c r="P41"/>
  <c r="K41"/>
  <c r="J41"/>
  <c r="W41" s="1"/>
  <c r="I41"/>
  <c r="T41" s="1"/>
  <c r="F41"/>
  <c r="K35"/>
  <c r="J35"/>
  <c r="I35"/>
  <c r="K34"/>
  <c r="J34"/>
  <c r="I34"/>
  <c r="K33"/>
  <c r="J33"/>
  <c r="I33"/>
  <c r="L33" s="1"/>
  <c r="M33" s="1"/>
  <c r="F33"/>
  <c r="G33" s="1"/>
  <c r="R32"/>
  <c r="Q32"/>
  <c r="P32"/>
  <c r="K32"/>
  <c r="J32"/>
  <c r="I32"/>
  <c r="R31"/>
  <c r="Q31"/>
  <c r="P31"/>
  <c r="K31"/>
  <c r="V31" s="1"/>
  <c r="J31"/>
  <c r="U31" s="1"/>
  <c r="I31"/>
  <c r="T31" s="1"/>
  <c r="R30"/>
  <c r="Q30"/>
  <c r="P30"/>
  <c r="K30"/>
  <c r="V30" s="1"/>
  <c r="J30"/>
  <c r="W30" s="1"/>
  <c r="I30"/>
  <c r="F30"/>
  <c r="S30" s="1"/>
  <c r="K24"/>
  <c r="J24"/>
  <c r="I24"/>
  <c r="K23"/>
  <c r="J23"/>
  <c r="I23"/>
  <c r="K22"/>
  <c r="J22"/>
  <c r="L22" s="1"/>
  <c r="M22" s="1"/>
  <c r="I22"/>
  <c r="F22"/>
  <c r="G22" s="1"/>
  <c r="R21"/>
  <c r="Q21"/>
  <c r="P21"/>
  <c r="K21"/>
  <c r="J21"/>
  <c r="I21"/>
  <c r="T21" s="1"/>
  <c r="R20"/>
  <c r="Q20"/>
  <c r="P20"/>
  <c r="K20"/>
  <c r="V20" s="1"/>
  <c r="J20"/>
  <c r="U20" s="1"/>
  <c r="I20"/>
  <c r="T20" s="1"/>
  <c r="R19"/>
  <c r="Q19"/>
  <c r="P19"/>
  <c r="K19"/>
  <c r="V19" s="1"/>
  <c r="J19"/>
  <c r="W19" s="1"/>
  <c r="I19"/>
  <c r="T19" s="1"/>
  <c r="F19"/>
  <c r="S19" s="1"/>
  <c r="K13"/>
  <c r="J13"/>
  <c r="I13"/>
  <c r="K12"/>
  <c r="J12"/>
  <c r="I12"/>
  <c r="K11"/>
  <c r="J11"/>
  <c r="I11"/>
  <c r="G11"/>
  <c r="F11"/>
  <c r="R10"/>
  <c r="Q10"/>
  <c r="P10"/>
  <c r="K10"/>
  <c r="V10" s="1"/>
  <c r="J10"/>
  <c r="I10"/>
  <c r="R9"/>
  <c r="Q9"/>
  <c r="P9"/>
  <c r="K9"/>
  <c r="J9"/>
  <c r="U9" s="1"/>
  <c r="I9"/>
  <c r="R8"/>
  <c r="Q8"/>
  <c r="P8"/>
  <c r="K8"/>
  <c r="V8" s="1"/>
  <c r="J8"/>
  <c r="W8" s="1"/>
  <c r="I8"/>
  <c r="T8" s="1"/>
  <c r="F8"/>
  <c r="S8" s="1"/>
  <c r="V41" l="1"/>
  <c r="V32"/>
  <c r="L11"/>
  <c r="M11" s="1"/>
  <c r="S52"/>
  <c r="T9"/>
  <c r="U10"/>
  <c r="V21"/>
  <c r="U32"/>
  <c r="T43"/>
  <c r="V9"/>
  <c r="T10"/>
  <c r="U19"/>
  <c r="U21"/>
  <c r="T30"/>
  <c r="T32"/>
  <c r="S41"/>
  <c r="L44"/>
  <c r="M44" s="1"/>
  <c r="G8"/>
  <c r="L8"/>
  <c r="M8" s="1"/>
  <c r="G19"/>
  <c r="L19"/>
  <c r="M19" s="1"/>
  <c r="G30"/>
  <c r="L30"/>
  <c r="M30" s="1"/>
  <c r="G41"/>
  <c r="L41"/>
  <c r="M41" s="1"/>
  <c r="G52"/>
  <c r="U8"/>
  <c r="U30"/>
  <c r="U41"/>
</calcChain>
</file>

<file path=xl/sharedStrings.xml><?xml version="1.0" encoding="utf-8"?>
<sst xmlns="http://schemas.openxmlformats.org/spreadsheetml/2006/main" count="122" uniqueCount="18">
  <si>
    <t>Television 1</t>
  </si>
  <si>
    <t>Test Results</t>
  </si>
  <si>
    <t>9 Point Perpendicular Measurement</t>
  </si>
  <si>
    <t>9 Point Off-Axis Measurement</t>
  </si>
  <si>
    <t>Mode</t>
  </si>
  <si>
    <t>Nominal Luminance</t>
  </si>
  <si>
    <t>Average of 9 Measurements</t>
  </si>
  <si>
    <t>Ratio of Average to Center Reading</t>
  </si>
  <si>
    <t>Nominal Ratio</t>
  </si>
  <si>
    <t>Average Ratio</t>
  </si>
  <si>
    <t>Standard</t>
  </si>
  <si>
    <t>Dynamic</t>
  </si>
  <si>
    <t>Television 2</t>
  </si>
  <si>
    <t>Television 5</t>
  </si>
  <si>
    <t>Television 6</t>
  </si>
  <si>
    <t>Television 11</t>
  </si>
  <si>
    <t>Television Luminance for 9-Point Video Signal at both Perpendicular and Off-Axis Measurements</t>
  </si>
  <si>
    <t>The above charts indicate the differences between measuring screen luminance perpendicular to the screen and at various angles while displaying the 9-point video signal.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</si>
</sst>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5">
    <xf numFmtId="0" fontId="0" fillId="0" borderId="0" xfId="0"/>
    <xf numFmtId="0" fontId="1" fillId="2" borderId="1" xfId="2" applyBorder="1" applyAlignment="1">
      <alignment horizontal="center"/>
    </xf>
    <xf numFmtId="9" fontId="1" fillId="2" borderId="1" xfId="1" applyFill="1" applyBorder="1" applyAlignment="1">
      <alignment horizontal="center"/>
    </xf>
    <xf numFmtId="0" fontId="1" fillId="5" borderId="1" xfId="2" applyFill="1" applyBorder="1" applyAlignment="1">
      <alignment horizontal="center"/>
    </xf>
    <xf numFmtId="9" fontId="1" fillId="5" borderId="1" xfId="1" applyFill="1" applyBorder="1" applyAlignment="1">
      <alignment horizontal="center"/>
    </xf>
    <xf numFmtId="164" fontId="1" fillId="2" borderId="1" xfId="2" applyNumberFormat="1" applyBorder="1" applyAlignment="1">
      <alignment horizontal="center"/>
    </xf>
    <xf numFmtId="164" fontId="0" fillId="2" borderId="1" xfId="2" applyNumberFormat="1" applyFont="1" applyBorder="1" applyAlignment="1">
      <alignment horizontal="center"/>
    </xf>
    <xf numFmtId="164" fontId="1" fillId="5" borderId="1" xfId="2" applyNumberFormat="1" applyFill="1" applyBorder="1" applyAlignment="1">
      <alignment horizontal="center"/>
    </xf>
    <xf numFmtId="9" fontId="0" fillId="0" borderId="0" xfId="1" applyFont="1"/>
    <xf numFmtId="0" fontId="1" fillId="2" borderId="3" xfId="2" applyBorder="1" applyAlignment="1">
      <alignment horizontal="center"/>
    </xf>
    <xf numFmtId="164" fontId="1" fillId="2" borderId="3" xfId="2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9" fontId="1" fillId="2" borderId="7" xfId="1" applyFill="1" applyBorder="1" applyAlignment="1">
      <alignment horizontal="center"/>
    </xf>
    <xf numFmtId="9" fontId="1" fillId="2" borderId="9" xfId="1" applyFill="1" applyBorder="1" applyAlignment="1">
      <alignment horizontal="center"/>
    </xf>
    <xf numFmtId="9" fontId="1" fillId="2" borderId="3" xfId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9" fontId="0" fillId="0" borderId="8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</cellXfs>
  <cellStyles count="3">
    <cellStyle name="20% - Accent1" xfId="2" builtinId="30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59"/>
  <sheetViews>
    <sheetView showGridLines="0" tabSelected="1" zoomScale="70" zoomScaleNormal="70" workbookViewId="0">
      <selection activeCell="B60" sqref="B60"/>
    </sheetView>
  </sheetViews>
  <sheetFormatPr defaultRowHeight="15"/>
  <cols>
    <col min="1" max="1" width="9.140625" customWidth="1"/>
    <col min="2" max="2" width="10" bestFit="1" customWidth="1"/>
    <col min="6" max="6" width="32" bestFit="1" customWidth="1"/>
    <col min="7" max="7" width="40.28515625" bestFit="1" customWidth="1"/>
    <col min="8" max="8" width="10" bestFit="1" customWidth="1"/>
    <col min="12" max="12" width="32" bestFit="1" customWidth="1"/>
    <col min="13" max="13" width="40.28515625" bestFit="1" customWidth="1"/>
    <col min="19" max="19" width="16.85546875" bestFit="1" customWidth="1"/>
    <col min="23" max="23" width="13.7109375" bestFit="1" customWidth="1"/>
  </cols>
  <sheetData>
    <row r="2" spans="2:23" ht="21">
      <c r="B2" s="20" t="s">
        <v>16</v>
      </c>
      <c r="C2" s="20"/>
      <c r="D2" s="20"/>
      <c r="E2" s="20"/>
      <c r="F2" s="20"/>
      <c r="G2" s="20"/>
      <c r="H2" s="20"/>
      <c r="I2" s="20"/>
      <c r="J2" s="20"/>
      <c r="K2" s="20"/>
    </row>
    <row r="3" spans="2:23" ht="15.75" thickBot="1"/>
    <row r="4" spans="2:23" ht="15.75" thickBot="1">
      <c r="B4" s="21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P4" s="24" t="s">
        <v>0</v>
      </c>
      <c r="Q4" s="25"/>
      <c r="R4" s="25"/>
      <c r="S4" s="25"/>
      <c r="T4" s="25"/>
      <c r="U4" s="25"/>
      <c r="V4" s="25"/>
      <c r="W4" s="26"/>
    </row>
    <row r="5" spans="2:23" ht="15.75" thickBot="1">
      <c r="B5" s="24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P5" s="24" t="s">
        <v>1</v>
      </c>
      <c r="Q5" s="25"/>
      <c r="R5" s="25"/>
      <c r="S5" s="25"/>
      <c r="T5" s="25"/>
      <c r="U5" s="25"/>
      <c r="V5" s="25"/>
      <c r="W5" s="26"/>
    </row>
    <row r="6" spans="2:23">
      <c r="B6" s="27" t="s">
        <v>2</v>
      </c>
      <c r="C6" s="28"/>
      <c r="D6" s="28"/>
      <c r="E6" s="28"/>
      <c r="F6" s="28"/>
      <c r="G6" s="29"/>
      <c r="H6" s="27" t="s">
        <v>3</v>
      </c>
      <c r="I6" s="28"/>
      <c r="J6" s="28"/>
      <c r="K6" s="28"/>
      <c r="L6" s="28"/>
      <c r="M6" s="29"/>
      <c r="P6" s="30" t="s">
        <v>2</v>
      </c>
      <c r="Q6" s="31"/>
      <c r="R6" s="31"/>
      <c r="S6" s="32"/>
      <c r="T6" s="30" t="s">
        <v>3</v>
      </c>
      <c r="U6" s="31"/>
      <c r="V6" s="31"/>
      <c r="W6" s="32"/>
    </row>
    <row r="7" spans="2:23">
      <c r="B7" s="15" t="s">
        <v>4</v>
      </c>
      <c r="C7" s="33" t="s">
        <v>5</v>
      </c>
      <c r="D7" s="33"/>
      <c r="E7" s="33"/>
      <c r="F7" s="11" t="s">
        <v>6</v>
      </c>
      <c r="G7" s="16" t="s">
        <v>7</v>
      </c>
      <c r="H7" s="15" t="s">
        <v>4</v>
      </c>
      <c r="I7" s="33" t="s">
        <v>5</v>
      </c>
      <c r="J7" s="33"/>
      <c r="K7" s="33"/>
      <c r="L7" s="11" t="s">
        <v>6</v>
      </c>
      <c r="M7" s="16" t="s">
        <v>7</v>
      </c>
      <c r="P7" s="34" t="s">
        <v>8</v>
      </c>
      <c r="Q7" s="33"/>
      <c r="R7" s="33"/>
      <c r="S7" s="16" t="s">
        <v>9</v>
      </c>
      <c r="T7" s="34" t="s">
        <v>8</v>
      </c>
      <c r="U7" s="33"/>
      <c r="V7" s="33"/>
      <c r="W7" s="16" t="s">
        <v>9</v>
      </c>
    </row>
    <row r="8" spans="2:23">
      <c r="B8" s="37" t="s">
        <v>10</v>
      </c>
      <c r="C8" s="1">
        <v>272.39999999999998</v>
      </c>
      <c r="D8" s="1">
        <v>271.3</v>
      </c>
      <c r="E8" s="1">
        <v>274.5</v>
      </c>
      <c r="F8" s="39">
        <f>AVERAGE(C8:E10)</f>
        <v>287.81111111111107</v>
      </c>
      <c r="G8" s="35">
        <f>(ABS(D9-F8))/F8</f>
        <v>1.2817048218353215E-2</v>
      </c>
      <c r="H8" s="37" t="s">
        <v>10</v>
      </c>
      <c r="I8" s="12">
        <f>AVERAGE(239.6,239.2,239.1)</f>
        <v>239.29999999999998</v>
      </c>
      <c r="J8" s="12">
        <f>AVERAGE(264.5,264,264)</f>
        <v>264.16666666666669</v>
      </c>
      <c r="K8" s="12">
        <f>AVERAGE(257.8,257.6,257.7)</f>
        <v>257.70000000000005</v>
      </c>
      <c r="L8" s="39">
        <f>AVERAGE(I8:K10)</f>
        <v>270.37407407407409</v>
      </c>
      <c r="M8" s="35">
        <f>(ABS(J9-L8))/L8</f>
        <v>6.8766181285187716E-2</v>
      </c>
      <c r="P8" s="17">
        <f>C8/C11</f>
        <v>0.70061728395061718</v>
      </c>
      <c r="Q8" s="2">
        <f t="shared" ref="Q8:R10" si="0">D8/D11</f>
        <v>0.68735748669875862</v>
      </c>
      <c r="R8" s="2">
        <f t="shared" si="0"/>
        <v>0.69493670886075953</v>
      </c>
      <c r="S8" s="35">
        <f>F8/F11</f>
        <v>0.69678547410894409</v>
      </c>
      <c r="T8" s="17">
        <f>I8/I11</f>
        <v>0.69916244643552783</v>
      </c>
      <c r="U8" s="2">
        <f t="shared" ref="U8:V10" si="1">J8/J11</f>
        <v>0.69371498599439774</v>
      </c>
      <c r="V8" s="2">
        <f t="shared" si="1"/>
        <v>0.69673756308579693</v>
      </c>
      <c r="W8" s="35">
        <f>J8/J11</f>
        <v>0.69371498599439774</v>
      </c>
    </row>
    <row r="9" spans="2:23">
      <c r="B9" s="37"/>
      <c r="C9" s="1">
        <v>250.9</v>
      </c>
      <c r="D9" s="3">
        <v>291.5</v>
      </c>
      <c r="E9" s="1">
        <v>256.39999999999998</v>
      </c>
      <c r="F9" s="39"/>
      <c r="G9" s="35"/>
      <c r="H9" s="37"/>
      <c r="I9" s="13">
        <f>AVERAGE(229.7,230.4,230.2)</f>
        <v>230.1</v>
      </c>
      <c r="J9" s="14">
        <f>AVERAGE(289,288.9,289)</f>
        <v>288.96666666666664</v>
      </c>
      <c r="K9" s="13">
        <f>AVERAGE(249.1,249.2,249.2)</f>
        <v>249.16666666666666</v>
      </c>
      <c r="L9" s="39"/>
      <c r="M9" s="35"/>
      <c r="P9" s="17">
        <f t="shared" ref="P9:P10" si="2">C9/C12</f>
        <v>0.69986052998605297</v>
      </c>
      <c r="Q9" s="4">
        <f t="shared" si="0"/>
        <v>0.69770224988032548</v>
      </c>
      <c r="R9" s="2">
        <f t="shared" si="0"/>
        <v>0.69825708061002179</v>
      </c>
      <c r="S9" s="35"/>
      <c r="T9" s="17">
        <f t="shared" ref="T9:T10" si="3">I9/I12</f>
        <v>0.70052770448548818</v>
      </c>
      <c r="U9" s="4">
        <f t="shared" si="1"/>
        <v>0.69552310654685479</v>
      </c>
      <c r="V9" s="2">
        <f t="shared" si="1"/>
        <v>0.68963926561490907</v>
      </c>
      <c r="W9" s="35"/>
    </row>
    <row r="10" spans="2:23" ht="15.75" thickBot="1">
      <c r="B10" s="37"/>
      <c r="C10" s="1">
        <v>307.10000000000002</v>
      </c>
      <c r="D10" s="1">
        <v>344</v>
      </c>
      <c r="E10" s="1">
        <v>322.2</v>
      </c>
      <c r="F10" s="39"/>
      <c r="G10" s="35"/>
      <c r="H10" s="37"/>
      <c r="I10" s="13">
        <f>AVERAGE(274.6,274.8,274.9)</f>
        <v>274.76666666666671</v>
      </c>
      <c r="J10" s="13">
        <f>AVERAGE(333.1,333.2,333.2)</f>
        <v>333.16666666666669</v>
      </c>
      <c r="K10" s="13">
        <f>AVERAGE(296,296,296.1)</f>
        <v>296.03333333333336</v>
      </c>
      <c r="L10" s="39"/>
      <c r="M10" s="35"/>
      <c r="P10" s="18">
        <f t="shared" si="2"/>
        <v>0.69732061762034525</v>
      </c>
      <c r="Q10" s="19">
        <f t="shared" si="0"/>
        <v>0.69271043093032614</v>
      </c>
      <c r="R10" s="19">
        <f t="shared" si="0"/>
        <v>0.70272628135223547</v>
      </c>
      <c r="S10" s="36"/>
      <c r="T10" s="18">
        <f t="shared" si="3"/>
        <v>0.69625812990962077</v>
      </c>
      <c r="U10" s="19">
        <f t="shared" si="1"/>
        <v>0.68959569477024973</v>
      </c>
      <c r="V10" s="19">
        <f t="shared" si="1"/>
        <v>0.69188220629479602</v>
      </c>
      <c r="W10" s="36"/>
    </row>
    <row r="11" spans="2:23">
      <c r="B11" s="37" t="s">
        <v>11</v>
      </c>
      <c r="C11" s="1">
        <v>388.8</v>
      </c>
      <c r="D11" s="1">
        <v>394.7</v>
      </c>
      <c r="E11" s="1">
        <v>395</v>
      </c>
      <c r="F11" s="39">
        <f>AVERAGE(C11:E13)</f>
        <v>413.05555555555554</v>
      </c>
      <c r="G11" s="35">
        <f>(ABS(D12-F11))/F11</f>
        <v>1.1486213853396158E-2</v>
      </c>
      <c r="H11" s="37" t="s">
        <v>11</v>
      </c>
      <c r="I11" s="5">
        <f>AVERAGE(342.6,342,342.2)</f>
        <v>342.26666666666665</v>
      </c>
      <c r="J11" s="5">
        <f>AVERAGE(381.3,380.8,380.3)</f>
        <v>380.8</v>
      </c>
      <c r="K11" s="6">
        <f>AVERAGE(370.2,369.8,369.6)</f>
        <v>369.86666666666662</v>
      </c>
      <c r="L11" s="39">
        <f>AVERAGE(I11:K13)</f>
        <v>389.31111111111107</v>
      </c>
      <c r="M11" s="35">
        <f>(ABS(J12-L11))/L11</f>
        <v>6.7184200011416353E-2</v>
      </c>
    </row>
    <row r="12" spans="2:23">
      <c r="B12" s="37"/>
      <c r="C12" s="1">
        <v>358.5</v>
      </c>
      <c r="D12" s="3">
        <v>417.8</v>
      </c>
      <c r="E12" s="1">
        <v>367.2</v>
      </c>
      <c r="F12" s="39"/>
      <c r="G12" s="35"/>
      <c r="H12" s="37"/>
      <c r="I12" s="5">
        <f>AVERAGE(328.1,328.7,328.6)</f>
        <v>328.46666666666664</v>
      </c>
      <c r="J12" s="7">
        <f>AVERAGE(415.5,415.4,415.5)</f>
        <v>415.4666666666667</v>
      </c>
      <c r="K12" s="5">
        <f>AVERAGE(361.3,361.5,361.1)</f>
        <v>361.3</v>
      </c>
      <c r="L12" s="39"/>
      <c r="M12" s="35"/>
    </row>
    <row r="13" spans="2:23" ht="15.75" thickBot="1">
      <c r="B13" s="38"/>
      <c r="C13" s="9">
        <v>440.4</v>
      </c>
      <c r="D13" s="9">
        <v>496.6</v>
      </c>
      <c r="E13" s="9">
        <v>458.5</v>
      </c>
      <c r="F13" s="40"/>
      <c r="G13" s="36"/>
      <c r="H13" s="38"/>
      <c r="I13" s="10">
        <f>AVERAGE(394.6,394.5,394.8)</f>
        <v>394.63333333333338</v>
      </c>
      <c r="J13" s="10">
        <f>AVERAGE(482.9,483.1,483.4)</f>
        <v>483.13333333333338</v>
      </c>
      <c r="K13" s="10">
        <f>AVERAGE(427.9,427.8,427.9)</f>
        <v>427.86666666666662</v>
      </c>
      <c r="L13" s="40"/>
      <c r="M13" s="36"/>
    </row>
    <row r="14" spans="2:23" ht="15.75" thickBot="1">
      <c r="F14" s="8"/>
    </row>
    <row r="15" spans="2:23" ht="15.75" thickBot="1">
      <c r="B15" s="21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P15" s="24" t="s">
        <v>12</v>
      </c>
      <c r="Q15" s="25"/>
      <c r="R15" s="25"/>
      <c r="S15" s="25"/>
      <c r="T15" s="25"/>
      <c r="U15" s="25"/>
      <c r="V15" s="25"/>
      <c r="W15" s="26"/>
    </row>
    <row r="16" spans="2:23" ht="15.75" thickBot="1">
      <c r="B16" s="24" t="s">
        <v>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1</v>
      </c>
      <c r="Q16" s="25"/>
      <c r="R16" s="25"/>
      <c r="S16" s="25"/>
      <c r="T16" s="25"/>
      <c r="U16" s="25"/>
      <c r="V16" s="25"/>
      <c r="W16" s="26"/>
    </row>
    <row r="17" spans="2:23">
      <c r="B17" s="27" t="s">
        <v>2</v>
      </c>
      <c r="C17" s="28"/>
      <c r="D17" s="28"/>
      <c r="E17" s="28"/>
      <c r="F17" s="28"/>
      <c r="G17" s="29"/>
      <c r="H17" s="27" t="s">
        <v>3</v>
      </c>
      <c r="I17" s="28"/>
      <c r="J17" s="28"/>
      <c r="K17" s="28"/>
      <c r="L17" s="28"/>
      <c r="M17" s="29"/>
      <c r="P17" s="30" t="s">
        <v>2</v>
      </c>
      <c r="Q17" s="31"/>
      <c r="R17" s="31"/>
      <c r="S17" s="32"/>
      <c r="T17" s="30" t="s">
        <v>3</v>
      </c>
      <c r="U17" s="31"/>
      <c r="V17" s="31"/>
      <c r="W17" s="32"/>
    </row>
    <row r="18" spans="2:23">
      <c r="B18" s="15" t="s">
        <v>4</v>
      </c>
      <c r="C18" s="33" t="s">
        <v>5</v>
      </c>
      <c r="D18" s="33"/>
      <c r="E18" s="33"/>
      <c r="F18" s="11" t="s">
        <v>6</v>
      </c>
      <c r="G18" s="16" t="s">
        <v>7</v>
      </c>
      <c r="H18" s="15" t="s">
        <v>4</v>
      </c>
      <c r="I18" s="33" t="s">
        <v>5</v>
      </c>
      <c r="J18" s="33"/>
      <c r="K18" s="33"/>
      <c r="L18" s="11" t="s">
        <v>6</v>
      </c>
      <c r="M18" s="16" t="s">
        <v>7</v>
      </c>
      <c r="P18" s="34" t="s">
        <v>8</v>
      </c>
      <c r="Q18" s="33"/>
      <c r="R18" s="33"/>
      <c r="S18" s="16" t="s">
        <v>9</v>
      </c>
      <c r="T18" s="34" t="s">
        <v>8</v>
      </c>
      <c r="U18" s="33"/>
      <c r="V18" s="33"/>
      <c r="W18" s="16" t="s">
        <v>9</v>
      </c>
    </row>
    <row r="19" spans="2:23">
      <c r="B19" s="37" t="s">
        <v>10</v>
      </c>
      <c r="C19" s="1">
        <v>96.3</v>
      </c>
      <c r="D19" s="1">
        <v>91.6</v>
      </c>
      <c r="E19" s="1">
        <v>95.7</v>
      </c>
      <c r="F19" s="39">
        <f>AVERAGE(C19:E21)</f>
        <v>100.8</v>
      </c>
      <c r="G19" s="35">
        <f>(ABS(D20-F19))/F19</f>
        <v>0.26984126984126988</v>
      </c>
      <c r="H19" s="37" t="s">
        <v>10</v>
      </c>
      <c r="I19" s="12">
        <f>AVERAGE(78.73,78.6,77.6)</f>
        <v>78.309999999999988</v>
      </c>
      <c r="J19" s="12">
        <f>AVERAGE(77.5,77.2,77.8)</f>
        <v>77.5</v>
      </c>
      <c r="K19" s="12">
        <f>AVERAGE(78.1,77.9,77.5)</f>
        <v>77.833333333333329</v>
      </c>
      <c r="L19" s="39">
        <f>AVERAGE(I19:K21)</f>
        <v>96.075185185185177</v>
      </c>
      <c r="M19" s="35">
        <f>(ABS(J20-L19))/L19</f>
        <v>0.33610636731263727</v>
      </c>
      <c r="P19" s="17">
        <f>C19/C22</f>
        <v>0.6245136186770428</v>
      </c>
      <c r="Q19" s="2">
        <f t="shared" ref="Q19:R21" si="4">D19/D22</f>
        <v>0.62059620596205956</v>
      </c>
      <c r="R19" s="2">
        <f t="shared" si="4"/>
        <v>0.62754098360655741</v>
      </c>
      <c r="S19" s="35">
        <f>F19/F22</f>
        <v>0.64610782707784353</v>
      </c>
      <c r="T19" s="17">
        <f>I19/I22</f>
        <v>0.5527764705882352</v>
      </c>
      <c r="U19" s="2">
        <f t="shared" ref="U19:V21" si="5">J19/J22</f>
        <v>0.55423122765196664</v>
      </c>
      <c r="V19" s="2">
        <f t="shared" si="5"/>
        <v>0.56332931242460793</v>
      </c>
      <c r="W19" s="35">
        <f>J19/J22</f>
        <v>0.55423122765196664</v>
      </c>
    </row>
    <row r="20" spans="2:23">
      <c r="B20" s="37"/>
      <c r="C20" s="1">
        <v>113.6</v>
      </c>
      <c r="D20" s="3">
        <v>128</v>
      </c>
      <c r="E20" s="1">
        <v>103</v>
      </c>
      <c r="F20" s="39"/>
      <c r="G20" s="35"/>
      <c r="H20" s="37"/>
      <c r="I20" s="13">
        <f>AVERAGE(107.5,107.4,107.3)</f>
        <v>107.39999999999999</v>
      </c>
      <c r="J20" s="14">
        <f>AVERAGE(128.4,128.3,128.4)</f>
        <v>128.36666666666667</v>
      </c>
      <c r="K20" s="13">
        <f>AVERAGE(98.8,98.5,98.6)</f>
        <v>98.633333333333326</v>
      </c>
      <c r="L20" s="39"/>
      <c r="M20" s="35"/>
      <c r="P20" s="17">
        <f t="shared" ref="P20:P21" si="6">C20/C23</f>
        <v>0.68640483383685802</v>
      </c>
      <c r="Q20" s="4">
        <f t="shared" si="4"/>
        <v>0.67832538420773714</v>
      </c>
      <c r="R20" s="2">
        <f t="shared" si="4"/>
        <v>0.6486146095717884</v>
      </c>
      <c r="S20" s="35"/>
      <c r="T20" s="17">
        <f t="shared" ref="T20:T21" si="7">I20/I23</f>
        <v>0.68378607809847181</v>
      </c>
      <c r="U20" s="4">
        <f t="shared" si="5"/>
        <v>0.68792425866380857</v>
      </c>
      <c r="V20" s="2">
        <f t="shared" si="5"/>
        <v>0.66449584549741758</v>
      </c>
      <c r="W20" s="35"/>
    </row>
    <row r="21" spans="2:23" ht="15.75" thickBot="1">
      <c r="B21" s="37"/>
      <c r="C21" s="1">
        <v>93.7</v>
      </c>
      <c r="D21" s="1">
        <v>96.8</v>
      </c>
      <c r="E21" s="1">
        <v>88.5</v>
      </c>
      <c r="F21" s="39"/>
      <c r="G21" s="35"/>
      <c r="H21" s="37"/>
      <c r="I21" s="13">
        <f>AVERAGE(98.1,98.1,98.1)</f>
        <v>98.09999999999998</v>
      </c>
      <c r="J21" s="13">
        <f>AVERAGE(105.2,105.2,105.1)</f>
        <v>105.16666666666667</v>
      </c>
      <c r="K21" s="13">
        <f>AVERAGE(93.5,93.3,93.3)</f>
        <v>93.366666666666674</v>
      </c>
      <c r="L21" s="39"/>
      <c r="M21" s="35"/>
      <c r="P21" s="18">
        <f t="shared" si="6"/>
        <v>0.63611676849966048</v>
      </c>
      <c r="Q21" s="19">
        <f t="shared" si="4"/>
        <v>0.65895166780122527</v>
      </c>
      <c r="R21" s="19">
        <f t="shared" si="4"/>
        <v>0.62061711079943904</v>
      </c>
      <c r="S21" s="36"/>
      <c r="T21" s="18">
        <f t="shared" si="7"/>
        <v>0.72774480712166156</v>
      </c>
      <c r="U21" s="19">
        <f t="shared" si="5"/>
        <v>0.74745321013977739</v>
      </c>
      <c r="V21" s="19">
        <f t="shared" si="5"/>
        <v>0.71894250513347024</v>
      </c>
      <c r="W21" s="36"/>
    </row>
    <row r="22" spans="2:23">
      <c r="B22" s="37" t="s">
        <v>11</v>
      </c>
      <c r="C22" s="1">
        <v>154.19999999999999</v>
      </c>
      <c r="D22" s="1">
        <v>147.6</v>
      </c>
      <c r="E22" s="1">
        <v>152.5</v>
      </c>
      <c r="F22" s="39">
        <f>AVERAGE(C22:E24)</f>
        <v>156.01111111111109</v>
      </c>
      <c r="G22" s="35">
        <f>(ABS(D23-F22))/F22</f>
        <v>0.20952923580941538</v>
      </c>
      <c r="H22" s="37" t="s">
        <v>11</v>
      </c>
      <c r="I22" s="5">
        <f>AVERAGE(142,141.6,141.4)</f>
        <v>141.66666666666666</v>
      </c>
      <c r="J22" s="5">
        <f>AVERAGE(140.9,139,139.6)</f>
        <v>139.83333333333334</v>
      </c>
      <c r="K22" s="6">
        <f>AVERAGE(138.3,138.1,138.1)</f>
        <v>138.16666666666666</v>
      </c>
      <c r="L22" s="39">
        <f>AVERAGE(I22:K24)</f>
        <v>146.34814814814814</v>
      </c>
      <c r="M22" s="35">
        <f>(ABS(J23-L22))/L22</f>
        <v>0.27504175735182468</v>
      </c>
    </row>
    <row r="23" spans="2:23">
      <c r="B23" s="37"/>
      <c r="C23" s="1">
        <v>165.5</v>
      </c>
      <c r="D23" s="3">
        <v>188.7</v>
      </c>
      <c r="E23" s="1">
        <v>158.80000000000001</v>
      </c>
      <c r="F23" s="39"/>
      <c r="G23" s="35"/>
      <c r="H23" s="37"/>
      <c r="I23" s="5">
        <f>AVERAGE(157.3,157,156.9)</f>
        <v>157.06666666666669</v>
      </c>
      <c r="J23" s="7">
        <f>AVERAGE(186.6,186.6,186.6)</f>
        <v>186.6</v>
      </c>
      <c r="K23" s="5">
        <f>AVERAGE(148.4,148.5,148.4)</f>
        <v>148.43333333333331</v>
      </c>
      <c r="L23" s="39"/>
      <c r="M23" s="35"/>
    </row>
    <row r="24" spans="2:23" ht="15.75" thickBot="1">
      <c r="B24" s="38"/>
      <c r="C24" s="9">
        <v>147.30000000000001</v>
      </c>
      <c r="D24" s="9">
        <v>146.9</v>
      </c>
      <c r="E24" s="9">
        <v>142.6</v>
      </c>
      <c r="F24" s="40"/>
      <c r="G24" s="36"/>
      <c r="H24" s="38"/>
      <c r="I24" s="10">
        <f>AVERAGE(134.8,134.8,134.8)</f>
        <v>134.80000000000001</v>
      </c>
      <c r="J24" s="10">
        <f>AVERAGE(140.7,140.6,140.8)</f>
        <v>140.69999999999999</v>
      </c>
      <c r="K24" s="10">
        <f>AVERAGE(129.7,129.9,130)</f>
        <v>129.86666666666667</v>
      </c>
      <c r="L24" s="40"/>
      <c r="M24" s="36"/>
    </row>
    <row r="25" spans="2:23" ht="15.75" thickBot="1"/>
    <row r="26" spans="2:23" ht="15.75" thickBot="1">
      <c r="B26" s="21" t="s">
        <v>13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P26" s="24" t="s">
        <v>13</v>
      </c>
      <c r="Q26" s="25"/>
      <c r="R26" s="25"/>
      <c r="S26" s="25"/>
      <c r="T26" s="25"/>
      <c r="U26" s="25"/>
      <c r="V26" s="25"/>
      <c r="W26" s="26"/>
    </row>
    <row r="27" spans="2:23" ht="15.75" thickBot="1">
      <c r="B27" s="24" t="s">
        <v>1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P27" s="24" t="s">
        <v>1</v>
      </c>
      <c r="Q27" s="25"/>
      <c r="R27" s="25"/>
      <c r="S27" s="25"/>
      <c r="T27" s="25"/>
      <c r="U27" s="25"/>
      <c r="V27" s="25"/>
      <c r="W27" s="26"/>
    </row>
    <row r="28" spans="2:23">
      <c r="B28" s="27" t="s">
        <v>2</v>
      </c>
      <c r="C28" s="28"/>
      <c r="D28" s="28"/>
      <c r="E28" s="28"/>
      <c r="F28" s="28"/>
      <c r="G28" s="29"/>
      <c r="H28" s="27" t="s">
        <v>3</v>
      </c>
      <c r="I28" s="28"/>
      <c r="J28" s="28"/>
      <c r="K28" s="28"/>
      <c r="L28" s="28"/>
      <c r="M28" s="29"/>
      <c r="P28" s="30" t="s">
        <v>2</v>
      </c>
      <c r="Q28" s="31"/>
      <c r="R28" s="31"/>
      <c r="S28" s="32"/>
      <c r="T28" s="30" t="s">
        <v>3</v>
      </c>
      <c r="U28" s="31"/>
      <c r="V28" s="31"/>
      <c r="W28" s="32"/>
    </row>
    <row r="29" spans="2:23">
      <c r="B29" s="15" t="s">
        <v>4</v>
      </c>
      <c r="C29" s="33" t="s">
        <v>5</v>
      </c>
      <c r="D29" s="33"/>
      <c r="E29" s="33"/>
      <c r="F29" s="11" t="s">
        <v>6</v>
      </c>
      <c r="G29" s="16" t="s">
        <v>7</v>
      </c>
      <c r="H29" s="15" t="s">
        <v>4</v>
      </c>
      <c r="I29" s="33" t="s">
        <v>5</v>
      </c>
      <c r="J29" s="33"/>
      <c r="K29" s="33"/>
      <c r="L29" s="11" t="s">
        <v>6</v>
      </c>
      <c r="M29" s="16" t="s">
        <v>7</v>
      </c>
      <c r="P29" s="34" t="s">
        <v>8</v>
      </c>
      <c r="Q29" s="33"/>
      <c r="R29" s="33"/>
      <c r="S29" s="16" t="s">
        <v>9</v>
      </c>
      <c r="T29" s="34" t="s">
        <v>8</v>
      </c>
      <c r="U29" s="33"/>
      <c r="V29" s="33"/>
      <c r="W29" s="16" t="s">
        <v>9</v>
      </c>
    </row>
    <row r="30" spans="2:23">
      <c r="B30" s="37" t="s">
        <v>10</v>
      </c>
      <c r="C30" s="1">
        <v>141.19999999999999</v>
      </c>
      <c r="D30" s="1">
        <v>154</v>
      </c>
      <c r="E30" s="1">
        <v>143.80000000000001</v>
      </c>
      <c r="F30" s="39">
        <f>AVERAGE(C30:E32)</f>
        <v>151.14444444444447</v>
      </c>
      <c r="G30" s="35">
        <f>(ABS(D31-F30))/F30</f>
        <v>0.10225685510549118</v>
      </c>
      <c r="H30" s="37" t="s">
        <v>10</v>
      </c>
      <c r="I30" s="12">
        <f>AVERAGE(126.3,126.2,126.4)</f>
        <v>126.3</v>
      </c>
      <c r="J30" s="12">
        <f>AVERAGE(145.5,145.3,145.2)</f>
        <v>145.33333333333334</v>
      </c>
      <c r="K30" s="12">
        <f>AVERAGE(131.4,131.3,131.3)</f>
        <v>131.33333333333334</v>
      </c>
      <c r="L30" s="39">
        <f>AVERAGE(I30:K32)</f>
        <v>146.50000000000003</v>
      </c>
      <c r="M30" s="35">
        <f>(ABS(J31-L30))/L30</f>
        <v>0.17701934015927151</v>
      </c>
      <c r="P30" s="17">
        <f>C30/C33</f>
        <v>1.0786860198624904</v>
      </c>
      <c r="Q30" s="2">
        <f t="shared" ref="Q30:R32" si="8">D30/D33</f>
        <v>1.0679611650485439</v>
      </c>
      <c r="R30" s="2">
        <f t="shared" si="8"/>
        <v>1.0504017531044558</v>
      </c>
      <c r="S30" s="35">
        <f>F30/F33</f>
        <v>1.0604147178048022</v>
      </c>
      <c r="T30" s="17">
        <f>I30/I33</f>
        <v>1.0916162489196197</v>
      </c>
      <c r="U30" s="2">
        <f t="shared" ref="U30:V32" si="9">J30/J33</f>
        <v>1.0954773869346734</v>
      </c>
      <c r="V30" s="2">
        <f t="shared" si="9"/>
        <v>1.0800438596491231</v>
      </c>
      <c r="W30" s="35">
        <f>J30/J33</f>
        <v>1.0954773869346734</v>
      </c>
    </row>
    <row r="31" spans="2:23">
      <c r="B31" s="37"/>
      <c r="C31" s="1">
        <v>150.69999999999999</v>
      </c>
      <c r="D31" s="3">
        <v>166.6</v>
      </c>
      <c r="E31" s="1">
        <v>154.6</v>
      </c>
      <c r="F31" s="39"/>
      <c r="G31" s="35"/>
      <c r="H31" s="37"/>
      <c r="I31" s="13">
        <f>AVERAGE(141.1,141.4,141.5)</f>
        <v>141.33333333333334</v>
      </c>
      <c r="J31" s="14">
        <f>AVERAGE(172.3,172.5,172.5)</f>
        <v>172.43333333333331</v>
      </c>
      <c r="K31" s="13">
        <f>AVERAGE(150.8,150.7,150.7)</f>
        <v>150.73333333333332</v>
      </c>
      <c r="L31" s="39"/>
      <c r="M31" s="35"/>
      <c r="P31" s="17">
        <f t="shared" ref="P31:P32" si="10">C31/C34</f>
        <v>1.0703124999999998</v>
      </c>
      <c r="Q31" s="4">
        <f t="shared" si="8"/>
        <v>1.0584498094027954</v>
      </c>
      <c r="R31" s="2">
        <f t="shared" si="8"/>
        <v>1.0488466757123474</v>
      </c>
      <c r="S31" s="35"/>
      <c r="T31" s="17">
        <f t="shared" ref="T31:T32" si="11">I31/I34</f>
        <v>1.0500247647350174</v>
      </c>
      <c r="U31" s="4">
        <f t="shared" si="9"/>
        <v>1.0600409836065572</v>
      </c>
      <c r="V31" s="2">
        <f t="shared" si="9"/>
        <v>1.045790934320074</v>
      </c>
      <c r="W31" s="35"/>
    </row>
    <row r="32" spans="2:23" ht="15.75" thickBot="1">
      <c r="B32" s="37"/>
      <c r="C32" s="1">
        <v>147.4</v>
      </c>
      <c r="D32" s="1">
        <v>149</v>
      </c>
      <c r="E32" s="1">
        <v>153</v>
      </c>
      <c r="F32" s="39"/>
      <c r="G32" s="35"/>
      <c r="H32" s="37"/>
      <c r="I32" s="13">
        <f>AVERAGE(144.8,145.1,145)</f>
        <v>144.96666666666667</v>
      </c>
      <c r="J32" s="13">
        <f>AVERAGE(152.9,152.8,152.9)</f>
        <v>152.86666666666667</v>
      </c>
      <c r="K32" s="13">
        <f>AVERAGE(152.4,153.7,153.5)</f>
        <v>153.20000000000002</v>
      </c>
      <c r="L32" s="39"/>
      <c r="M32" s="35"/>
      <c r="P32" s="18">
        <f t="shared" si="10"/>
        <v>1.064259927797834</v>
      </c>
      <c r="Q32" s="19">
        <f t="shared" si="8"/>
        <v>1.0574875798438608</v>
      </c>
      <c r="R32" s="19">
        <f t="shared" si="8"/>
        <v>1.0493827160493827</v>
      </c>
      <c r="S32" s="36"/>
      <c r="T32" s="18">
        <f t="shared" si="11"/>
        <v>1.0434261036468333</v>
      </c>
      <c r="U32" s="19">
        <f t="shared" si="9"/>
        <v>1.0465540848927428</v>
      </c>
      <c r="V32" s="19">
        <f t="shared" si="9"/>
        <v>1.0412324422292707</v>
      </c>
      <c r="W32" s="36"/>
    </row>
    <row r="33" spans="2:23">
      <c r="B33" s="37" t="s">
        <v>11</v>
      </c>
      <c r="C33" s="1">
        <v>130.9</v>
      </c>
      <c r="D33" s="1">
        <v>144.19999999999999</v>
      </c>
      <c r="E33" s="1">
        <v>136.9</v>
      </c>
      <c r="F33" s="39">
        <f>AVERAGE(C33:E35)</f>
        <v>142.53333333333333</v>
      </c>
      <c r="G33" s="35">
        <f>(ABS(D34-F33))/F33</f>
        <v>0.10430308699719369</v>
      </c>
      <c r="H33" s="37" t="s">
        <v>11</v>
      </c>
      <c r="I33" s="5">
        <f>AVERAGE(115.8,115.6,115.7)</f>
        <v>115.69999999999999</v>
      </c>
      <c r="J33" s="5">
        <f>AVERAGE(132.7,132.7,132.6)</f>
        <v>132.66666666666666</v>
      </c>
      <c r="K33" s="6">
        <f>AVERAGE(121.6,121.6,121.6)</f>
        <v>121.59999999999998</v>
      </c>
      <c r="L33" s="39">
        <f>AVERAGE(I33:K35)</f>
        <v>138.16666666666666</v>
      </c>
      <c r="M33" s="35">
        <f>(ABS(J34-L33))/L33</f>
        <v>0.1773220747889023</v>
      </c>
    </row>
    <row r="34" spans="2:23">
      <c r="B34" s="37"/>
      <c r="C34" s="1">
        <v>140.80000000000001</v>
      </c>
      <c r="D34" s="3">
        <v>157.4</v>
      </c>
      <c r="E34" s="1">
        <v>147.4</v>
      </c>
      <c r="F34" s="39"/>
      <c r="G34" s="35"/>
      <c r="H34" s="37"/>
      <c r="I34" s="5">
        <f>AVERAGE(134.7,134.5,134.6)</f>
        <v>134.6</v>
      </c>
      <c r="J34" s="7">
        <f>AVERAGE(162.6,162.7,162.7)</f>
        <v>162.66666666666666</v>
      </c>
      <c r="K34" s="5">
        <f>AVERAGE(144.1,144.3,144)</f>
        <v>144.13333333333333</v>
      </c>
      <c r="L34" s="39"/>
      <c r="M34" s="35"/>
    </row>
    <row r="35" spans="2:23" ht="15.75" thickBot="1">
      <c r="B35" s="38"/>
      <c r="C35" s="9">
        <v>138.5</v>
      </c>
      <c r="D35" s="9">
        <v>140.9</v>
      </c>
      <c r="E35" s="9">
        <v>145.80000000000001</v>
      </c>
      <c r="F35" s="40"/>
      <c r="G35" s="36"/>
      <c r="H35" s="38"/>
      <c r="I35" s="10">
        <f>AVERAGE(138.9,139,138.9)</f>
        <v>138.93333333333331</v>
      </c>
      <c r="J35" s="10">
        <f>AVERAGE(145.9,146.2,146.1)</f>
        <v>146.06666666666669</v>
      </c>
      <c r="K35" s="10">
        <f>AVERAGE(147.1,147.2,147.1)</f>
        <v>147.13333333333333</v>
      </c>
      <c r="L35" s="40"/>
      <c r="M35" s="36"/>
    </row>
    <row r="36" spans="2:23" ht="15.75" thickBot="1"/>
    <row r="37" spans="2:23" ht="15.75" thickBot="1">
      <c r="B37" s="21" t="s">
        <v>14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  <c r="P37" s="24" t="s">
        <v>14</v>
      </c>
      <c r="Q37" s="25"/>
      <c r="R37" s="25"/>
      <c r="S37" s="25"/>
      <c r="T37" s="25"/>
      <c r="U37" s="25"/>
      <c r="V37" s="25"/>
      <c r="W37" s="26"/>
    </row>
    <row r="38" spans="2:23" ht="15.75" thickBot="1">
      <c r="B38" s="24" t="s">
        <v>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P38" s="24" t="s">
        <v>1</v>
      </c>
      <c r="Q38" s="25"/>
      <c r="R38" s="25"/>
      <c r="S38" s="25"/>
      <c r="T38" s="25"/>
      <c r="U38" s="25"/>
      <c r="V38" s="25"/>
      <c r="W38" s="26"/>
    </row>
    <row r="39" spans="2:23">
      <c r="B39" s="27" t="s">
        <v>2</v>
      </c>
      <c r="C39" s="28"/>
      <c r="D39" s="28"/>
      <c r="E39" s="28"/>
      <c r="F39" s="28"/>
      <c r="G39" s="29"/>
      <c r="H39" s="27" t="s">
        <v>3</v>
      </c>
      <c r="I39" s="28"/>
      <c r="J39" s="28"/>
      <c r="K39" s="28"/>
      <c r="L39" s="28"/>
      <c r="M39" s="29"/>
      <c r="P39" s="30" t="s">
        <v>2</v>
      </c>
      <c r="Q39" s="31"/>
      <c r="R39" s="31"/>
      <c r="S39" s="32"/>
      <c r="T39" s="30" t="s">
        <v>3</v>
      </c>
      <c r="U39" s="31"/>
      <c r="V39" s="31"/>
      <c r="W39" s="32"/>
    </row>
    <row r="40" spans="2:23">
      <c r="B40" s="15" t="s">
        <v>4</v>
      </c>
      <c r="C40" s="33" t="s">
        <v>5</v>
      </c>
      <c r="D40" s="33"/>
      <c r="E40" s="33"/>
      <c r="F40" s="11" t="s">
        <v>6</v>
      </c>
      <c r="G40" s="16" t="s">
        <v>7</v>
      </c>
      <c r="H40" s="15" t="s">
        <v>4</v>
      </c>
      <c r="I40" s="33" t="s">
        <v>5</v>
      </c>
      <c r="J40" s="33"/>
      <c r="K40" s="33"/>
      <c r="L40" s="11" t="s">
        <v>6</v>
      </c>
      <c r="M40" s="16" t="s">
        <v>7</v>
      </c>
      <c r="P40" s="34" t="s">
        <v>8</v>
      </c>
      <c r="Q40" s="33"/>
      <c r="R40" s="33"/>
      <c r="S40" s="16" t="s">
        <v>9</v>
      </c>
      <c r="T40" s="34" t="s">
        <v>8</v>
      </c>
      <c r="U40" s="33"/>
      <c r="V40" s="33"/>
      <c r="W40" s="16" t="s">
        <v>9</v>
      </c>
    </row>
    <row r="41" spans="2:23">
      <c r="B41" s="37" t="s">
        <v>10</v>
      </c>
      <c r="C41" s="1">
        <v>318.2</v>
      </c>
      <c r="D41" s="1">
        <v>329.5</v>
      </c>
      <c r="E41" s="1">
        <v>328.5</v>
      </c>
      <c r="F41" s="39">
        <f>AVERAGE(C41:E43)</f>
        <v>344.86666666666667</v>
      </c>
      <c r="G41" s="35">
        <f>(ABS(D42-F41))/F41</f>
        <v>3.4989367871641204E-2</v>
      </c>
      <c r="H41" s="37" t="s">
        <v>10</v>
      </c>
      <c r="I41" s="12">
        <f>AVERAGE(251.7,252.7,251.7)</f>
        <v>252.0333333333333</v>
      </c>
      <c r="J41" s="12">
        <f>AVERAGE(300.2,300.5,300.5)</f>
        <v>300.40000000000003</v>
      </c>
      <c r="K41" s="12">
        <f>AVERAGE(261.2,262.5,261.7)</f>
        <v>261.8</v>
      </c>
      <c r="L41" s="39">
        <f>AVERAGE(I41:K43)</f>
        <v>292.22962962962964</v>
      </c>
      <c r="M41" s="35">
        <f>(ABS(J42-L41))/L41</f>
        <v>0.11978150110263365</v>
      </c>
      <c r="P41" s="17">
        <f>C41/C44</f>
        <v>0.85976763037017012</v>
      </c>
      <c r="Q41" s="2">
        <f t="shared" ref="Q41:R43" si="12">D41/D44</f>
        <v>0.88718362950996232</v>
      </c>
      <c r="R41" s="2">
        <f t="shared" si="12"/>
        <v>0.87693539775760809</v>
      </c>
      <c r="S41" s="35">
        <f>F41/F44</f>
        <v>0.86509838898489322</v>
      </c>
      <c r="T41" s="17">
        <f>I41/I44</f>
        <v>0.85280848184073976</v>
      </c>
      <c r="U41" s="2">
        <f t="shared" ref="U41:V43" si="13">J41/J44</f>
        <v>0.87022016222479737</v>
      </c>
      <c r="V41" s="2">
        <f t="shared" si="13"/>
        <v>0.86402640264026409</v>
      </c>
      <c r="W41" s="35">
        <f>J41/J44</f>
        <v>0.87022016222479737</v>
      </c>
    </row>
    <row r="42" spans="2:23">
      <c r="B42" s="37"/>
      <c r="C42" s="1">
        <v>327.2</v>
      </c>
      <c r="D42" s="3">
        <v>332.8</v>
      </c>
      <c r="E42" s="1">
        <v>351.2</v>
      </c>
      <c r="F42" s="39"/>
      <c r="G42" s="35"/>
      <c r="H42" s="37"/>
      <c r="I42" s="13">
        <f>AVERAGE(269.5,269.3,269.1)</f>
        <v>269.3</v>
      </c>
      <c r="J42" s="14">
        <f>AVERAGE(327.4,327.1,327.2)</f>
        <v>327.23333333333335</v>
      </c>
      <c r="K42" s="13">
        <f>AVERAGE(290,289.7,290.2)</f>
        <v>289.9666666666667</v>
      </c>
      <c r="L42" s="39"/>
      <c r="M42" s="35"/>
      <c r="P42" s="17">
        <f t="shared" ref="P42:P43" si="14">C42/C45</f>
        <v>0.85319426336375481</v>
      </c>
      <c r="Q42" s="4">
        <f t="shared" si="12"/>
        <v>0.87372013651877145</v>
      </c>
      <c r="R42" s="2">
        <f t="shared" si="12"/>
        <v>0.86630488406512085</v>
      </c>
      <c r="S42" s="35"/>
      <c r="T42" s="17">
        <f t="shared" ref="T42:T43" si="15">I42/I45</f>
        <v>0.84925890886155786</v>
      </c>
      <c r="U42" s="4">
        <f t="shared" si="13"/>
        <v>0.85978279908915756</v>
      </c>
      <c r="V42" s="2">
        <f t="shared" si="13"/>
        <v>0.86205529679912796</v>
      </c>
      <c r="W42" s="35"/>
    </row>
    <row r="43" spans="2:23" ht="15.75" thickBot="1">
      <c r="B43" s="37"/>
      <c r="C43" s="1">
        <v>367.1</v>
      </c>
      <c r="D43" s="1">
        <v>375.4</v>
      </c>
      <c r="E43" s="1">
        <v>373.9</v>
      </c>
      <c r="F43" s="39"/>
      <c r="G43" s="35"/>
      <c r="H43" s="37"/>
      <c r="I43" s="13">
        <f>AVERAGE(290.2,291.5,291.2)</f>
        <v>290.9666666666667</v>
      </c>
      <c r="J43" s="13">
        <f>AVERAGE(351.6,351.4,351.3)</f>
        <v>351.43333333333334</v>
      </c>
      <c r="K43" s="13">
        <f>AVERAGE(287,287,286.8)</f>
        <v>286.93333333333334</v>
      </c>
      <c r="L43" s="39"/>
      <c r="M43" s="35"/>
      <c r="P43" s="18">
        <f t="shared" si="14"/>
        <v>0.85811126694717166</v>
      </c>
      <c r="Q43" s="19">
        <f t="shared" si="12"/>
        <v>0.85825331504343849</v>
      </c>
      <c r="R43" s="19">
        <f t="shared" si="12"/>
        <v>0.85619418365010302</v>
      </c>
      <c r="S43" s="36"/>
      <c r="T43" s="18">
        <f t="shared" si="15"/>
        <v>0.84525999806332919</v>
      </c>
      <c r="U43" s="19">
        <f t="shared" si="13"/>
        <v>0.8469633676092545</v>
      </c>
      <c r="V43" s="19">
        <f t="shared" si="13"/>
        <v>0.85076101996441988</v>
      </c>
      <c r="W43" s="36"/>
    </row>
    <row r="44" spans="2:23">
      <c r="B44" s="37" t="s">
        <v>11</v>
      </c>
      <c r="C44" s="1">
        <v>370.1</v>
      </c>
      <c r="D44" s="1">
        <v>371.4</v>
      </c>
      <c r="E44" s="1">
        <v>374.6</v>
      </c>
      <c r="F44" s="39">
        <f>AVERAGE(C44:E46)</f>
        <v>398.64444444444445</v>
      </c>
      <c r="G44" s="35">
        <f>(ABS(D45-F44))/F44</f>
        <v>4.4511957188249129E-2</v>
      </c>
      <c r="H44" s="37" t="s">
        <v>11</v>
      </c>
      <c r="I44" s="5">
        <f>AVERAGE(295.4,295.6,295.6)</f>
        <v>295.53333333333336</v>
      </c>
      <c r="J44" s="5">
        <f>AVERAGE(345.8,345,344.8)</f>
        <v>345.2</v>
      </c>
      <c r="K44" s="6">
        <f>AVERAGE(302.7,303.1,303.2)</f>
        <v>303</v>
      </c>
      <c r="L44" s="39">
        <f>AVERAGE(I44:K46)</f>
        <v>341.58148148148149</v>
      </c>
      <c r="M44" s="35">
        <f>(ABS(J45-L44))/L44</f>
        <v>0.11422902186995119</v>
      </c>
    </row>
    <row r="45" spans="2:23">
      <c r="B45" s="37"/>
      <c r="C45" s="1">
        <v>383.5</v>
      </c>
      <c r="D45" s="3">
        <v>380.9</v>
      </c>
      <c r="E45" s="1">
        <v>405.4</v>
      </c>
      <c r="F45" s="39"/>
      <c r="G45" s="35"/>
      <c r="H45" s="37"/>
      <c r="I45" s="5">
        <f>AVERAGE(317.3,316.6,317.4)</f>
        <v>317.10000000000002</v>
      </c>
      <c r="J45" s="7">
        <f>AVERAGE(379.8,380.8,381.2)</f>
        <v>380.59999999999997</v>
      </c>
      <c r="K45" s="5">
        <f>AVERAGE(336.3,336.4,336.4)</f>
        <v>336.36666666666667</v>
      </c>
      <c r="L45" s="39"/>
      <c r="M45" s="35"/>
    </row>
    <row r="46" spans="2:23" ht="15.75" thickBot="1">
      <c r="B46" s="38"/>
      <c r="C46" s="9">
        <v>427.8</v>
      </c>
      <c r="D46" s="9">
        <v>437.4</v>
      </c>
      <c r="E46" s="9">
        <v>436.7</v>
      </c>
      <c r="F46" s="40"/>
      <c r="G46" s="36"/>
      <c r="H46" s="38"/>
      <c r="I46" s="10">
        <f>AVERAGE(344.5,344,344.2)</f>
        <v>344.23333333333335</v>
      </c>
      <c r="J46" s="10">
        <f>AVERAGE(415.1,414.9,414.8)</f>
        <v>414.93333333333334</v>
      </c>
      <c r="K46" s="10">
        <f>AVERAGE(337,337.4,337.4)</f>
        <v>337.26666666666665</v>
      </c>
      <c r="L46" s="40"/>
      <c r="M46" s="36"/>
    </row>
    <row r="47" spans="2:23" ht="15.75" thickBot="1"/>
    <row r="48" spans="2:23" ht="15.75" thickBot="1">
      <c r="B48" s="21" t="s">
        <v>15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24" t="s">
        <v>15</v>
      </c>
      <c r="Q48" s="25"/>
      <c r="R48" s="25"/>
      <c r="S48" s="25"/>
      <c r="T48" s="25"/>
      <c r="U48" s="25"/>
      <c r="V48" s="25"/>
      <c r="W48" s="26"/>
    </row>
    <row r="49" spans="2:23" ht="15.75" thickBot="1">
      <c r="B49" s="24" t="s">
        <v>1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P49" s="24" t="s">
        <v>1</v>
      </c>
      <c r="Q49" s="25"/>
      <c r="R49" s="25"/>
      <c r="S49" s="25"/>
      <c r="T49" s="25"/>
      <c r="U49" s="25"/>
      <c r="V49" s="25"/>
      <c r="W49" s="26"/>
    </row>
    <row r="50" spans="2:23">
      <c r="B50" s="27" t="s">
        <v>2</v>
      </c>
      <c r="C50" s="28"/>
      <c r="D50" s="28"/>
      <c r="E50" s="28"/>
      <c r="F50" s="28"/>
      <c r="G50" s="29"/>
      <c r="H50" s="27" t="s">
        <v>3</v>
      </c>
      <c r="I50" s="28"/>
      <c r="J50" s="28"/>
      <c r="K50" s="28"/>
      <c r="L50" s="28"/>
      <c r="M50" s="29"/>
      <c r="P50" s="30" t="s">
        <v>2</v>
      </c>
      <c r="Q50" s="31"/>
      <c r="R50" s="31"/>
      <c r="S50" s="32"/>
      <c r="T50" s="30" t="s">
        <v>3</v>
      </c>
      <c r="U50" s="31"/>
      <c r="V50" s="31"/>
      <c r="W50" s="32"/>
    </row>
    <row r="51" spans="2:23">
      <c r="B51" s="15" t="s">
        <v>4</v>
      </c>
      <c r="C51" s="33" t="s">
        <v>5</v>
      </c>
      <c r="D51" s="33"/>
      <c r="E51" s="33"/>
      <c r="F51" s="11" t="s">
        <v>6</v>
      </c>
      <c r="G51" s="16" t="s">
        <v>7</v>
      </c>
      <c r="H51" s="15" t="s">
        <v>4</v>
      </c>
      <c r="I51" s="33" t="s">
        <v>5</v>
      </c>
      <c r="J51" s="33"/>
      <c r="K51" s="33"/>
      <c r="L51" s="11" t="s">
        <v>6</v>
      </c>
      <c r="M51" s="16" t="s">
        <v>7</v>
      </c>
      <c r="P51" s="34" t="s">
        <v>8</v>
      </c>
      <c r="Q51" s="33"/>
      <c r="R51" s="33"/>
      <c r="S51" s="16" t="s">
        <v>9</v>
      </c>
      <c r="T51" s="34" t="s">
        <v>8</v>
      </c>
      <c r="U51" s="33"/>
      <c r="V51" s="33"/>
      <c r="W51" s="16" t="s">
        <v>9</v>
      </c>
    </row>
    <row r="52" spans="2:23">
      <c r="B52" s="37" t="s">
        <v>10</v>
      </c>
      <c r="C52" s="1">
        <v>43.1</v>
      </c>
      <c r="D52" s="1">
        <v>43.2</v>
      </c>
      <c r="E52" s="1">
        <v>43.2</v>
      </c>
      <c r="F52" s="39">
        <f>AVERAGE(C52:E54)</f>
        <v>42.31111111111111</v>
      </c>
      <c r="G52" s="35">
        <f>(ABS(D53-F52))/F52</f>
        <v>2.1008403361344463E-3</v>
      </c>
      <c r="H52" s="37" t="s">
        <v>10</v>
      </c>
      <c r="I52" s="12">
        <v>38.720000000000006</v>
      </c>
      <c r="J52" s="12">
        <v>40.06666666666667</v>
      </c>
      <c r="K52" s="12">
        <v>40.6</v>
      </c>
      <c r="L52" s="39">
        <f>AVERAGE(I52:K54)</f>
        <v>41.876296296296303</v>
      </c>
      <c r="M52" s="35">
        <f>(ABS(J53-L52))/L52</f>
        <v>0.10484142005554276</v>
      </c>
      <c r="P52" s="17">
        <f>C52/C55</f>
        <v>0.93492407809110634</v>
      </c>
      <c r="Q52" s="2">
        <f t="shared" ref="Q52:R54" si="16">D52/D55</f>
        <v>0.93506493506493504</v>
      </c>
      <c r="R52" s="2">
        <f t="shared" si="16"/>
        <v>0.92903225806451617</v>
      </c>
      <c r="S52" s="35">
        <f>F52/F55</f>
        <v>0.9285540112167765</v>
      </c>
      <c r="T52" s="17">
        <f>I52/I55</f>
        <v>1.0005167958656331</v>
      </c>
      <c r="U52" s="2">
        <f t="shared" ref="U52:V54" si="17">J52/J55</f>
        <v>0.99916874480465512</v>
      </c>
      <c r="V52" s="2">
        <f t="shared" si="17"/>
        <v>1.004950495049505</v>
      </c>
      <c r="W52" s="35">
        <f>J52/J55</f>
        <v>0.99916874480465512</v>
      </c>
    </row>
    <row r="53" spans="2:23">
      <c r="B53" s="37"/>
      <c r="C53" s="1">
        <v>40.1</v>
      </c>
      <c r="D53" s="3">
        <v>42.4</v>
      </c>
      <c r="E53" s="1">
        <v>42.3</v>
      </c>
      <c r="F53" s="39"/>
      <c r="G53" s="35"/>
      <c r="H53" s="37"/>
      <c r="I53" s="13">
        <v>44.466666666666669</v>
      </c>
      <c r="J53" s="14">
        <v>46.266666666666673</v>
      </c>
      <c r="K53" s="13">
        <v>45.29999999999999</v>
      </c>
      <c r="L53" s="39"/>
      <c r="M53" s="35"/>
      <c r="P53" s="17">
        <f t="shared" ref="P53:P54" si="18">C53/C56</f>
        <v>0.90929705215419498</v>
      </c>
      <c r="Q53" s="4">
        <f t="shared" si="16"/>
        <v>0.93186813186813189</v>
      </c>
      <c r="R53" s="2">
        <f t="shared" si="16"/>
        <v>0.93377483443708609</v>
      </c>
      <c r="S53" s="35"/>
      <c r="T53" s="17">
        <f t="shared" ref="T53:T54" si="19">I53/I56</f>
        <v>1.0015015015015016</v>
      </c>
      <c r="U53" s="4">
        <f t="shared" si="17"/>
        <v>0.99712643678160939</v>
      </c>
      <c r="V53" s="2">
        <f t="shared" si="17"/>
        <v>0.99999999999999989</v>
      </c>
      <c r="W53" s="35"/>
    </row>
    <row r="54" spans="2:23" ht="15.75" thickBot="1">
      <c r="B54" s="37"/>
      <c r="C54" s="1">
        <v>39.9</v>
      </c>
      <c r="D54" s="1">
        <v>43.1</v>
      </c>
      <c r="E54" s="1">
        <v>43.5</v>
      </c>
      <c r="F54" s="39"/>
      <c r="G54" s="35"/>
      <c r="H54" s="37"/>
      <c r="I54" s="13">
        <v>39.233333333333334</v>
      </c>
      <c r="J54" s="13">
        <v>41.633333333333333</v>
      </c>
      <c r="K54" s="13">
        <v>40.6</v>
      </c>
      <c r="L54" s="39"/>
      <c r="M54" s="35"/>
      <c r="P54" s="18">
        <f t="shared" si="18"/>
        <v>0.92361111111111105</v>
      </c>
      <c r="Q54" s="19">
        <f t="shared" si="16"/>
        <v>0.93088552915766742</v>
      </c>
      <c r="R54" s="19">
        <f t="shared" si="16"/>
        <v>0.92750533049040518</v>
      </c>
      <c r="S54" s="36"/>
      <c r="T54" s="18">
        <f t="shared" si="19"/>
        <v>1.019047619047619</v>
      </c>
      <c r="U54" s="19">
        <f t="shared" si="17"/>
        <v>1.0179299103504482</v>
      </c>
      <c r="V54" s="19">
        <f t="shared" si="17"/>
        <v>1.0201005025125629</v>
      </c>
      <c r="W54" s="36"/>
    </row>
    <row r="55" spans="2:23">
      <c r="B55" s="37" t="s">
        <v>11</v>
      </c>
      <c r="C55" s="1">
        <v>46.1</v>
      </c>
      <c r="D55" s="1">
        <v>46.2</v>
      </c>
      <c r="E55" s="1">
        <v>46.5</v>
      </c>
      <c r="F55" s="39">
        <f>AVERAGE(C55:E57)</f>
        <v>45.566666666666663</v>
      </c>
      <c r="G55" s="35">
        <f>(ABS(D56-F55))/F55</f>
        <v>1.4630577907826529E-3</v>
      </c>
      <c r="H55" s="37" t="s">
        <v>11</v>
      </c>
      <c r="I55" s="5">
        <v>38.700000000000003</v>
      </c>
      <c r="J55" s="5">
        <v>40.1</v>
      </c>
      <c r="K55" s="6">
        <v>40.4</v>
      </c>
      <c r="L55" s="39">
        <f>AVERAGE(I55:K57)</f>
        <v>41.611111111111114</v>
      </c>
      <c r="M55" s="35">
        <f>(ABS(J56-L55))/L55</f>
        <v>0.11508678237650188</v>
      </c>
    </row>
    <row r="56" spans="2:23">
      <c r="B56" s="37"/>
      <c r="C56" s="1">
        <v>44.1</v>
      </c>
      <c r="D56" s="3">
        <v>45.5</v>
      </c>
      <c r="E56" s="1">
        <v>45.3</v>
      </c>
      <c r="F56" s="39"/>
      <c r="G56" s="35"/>
      <c r="H56" s="37"/>
      <c r="I56" s="5">
        <v>44.4</v>
      </c>
      <c r="J56" s="7">
        <v>46.4</v>
      </c>
      <c r="K56" s="5">
        <v>45.3</v>
      </c>
      <c r="L56" s="39"/>
      <c r="M56" s="35"/>
    </row>
    <row r="57" spans="2:23" ht="15.75" thickBot="1">
      <c r="B57" s="38"/>
      <c r="C57" s="9">
        <v>43.2</v>
      </c>
      <c r="D57" s="9">
        <v>46.3</v>
      </c>
      <c r="E57" s="9">
        <v>46.9</v>
      </c>
      <c r="F57" s="40"/>
      <c r="G57" s="36"/>
      <c r="H57" s="38"/>
      <c r="I57" s="10">
        <v>38.5</v>
      </c>
      <c r="J57" s="10">
        <v>40.9</v>
      </c>
      <c r="K57" s="10">
        <v>39.799999999999997</v>
      </c>
      <c r="L57" s="40"/>
      <c r="M57" s="36"/>
    </row>
    <row r="59" spans="2:23" ht="15" customHeight="1">
      <c r="B59" s="42" t="s">
        <v>17</v>
      </c>
      <c r="C59" s="43"/>
      <c r="D59" s="43"/>
      <c r="E59" s="43"/>
      <c r="F59" s="43"/>
      <c r="G59" s="43"/>
      <c r="H59" s="43"/>
      <c r="I59" s="43"/>
      <c r="J59" s="43"/>
      <c r="K59" s="44"/>
      <c r="L59" s="41"/>
      <c r="M59" s="41"/>
    </row>
  </sheetData>
  <mergeCells count="132">
    <mergeCell ref="B59:K59"/>
    <mergeCell ref="S52:S54"/>
    <mergeCell ref="W52:W54"/>
    <mergeCell ref="B55:B57"/>
    <mergeCell ref="F55:F57"/>
    <mergeCell ref="G55:G57"/>
    <mergeCell ref="H55:H57"/>
    <mergeCell ref="L55:L57"/>
    <mergeCell ref="M55:M57"/>
    <mergeCell ref="C51:E51"/>
    <mergeCell ref="I51:K51"/>
    <mergeCell ref="P51:R51"/>
    <mergeCell ref="T51:V51"/>
    <mergeCell ref="B52:B54"/>
    <mergeCell ref="F52:F54"/>
    <mergeCell ref="G52:G54"/>
    <mergeCell ref="H52:H54"/>
    <mergeCell ref="L52:L54"/>
    <mergeCell ref="M52:M54"/>
    <mergeCell ref="B48:M48"/>
    <mergeCell ref="P48:W48"/>
    <mergeCell ref="B49:M49"/>
    <mergeCell ref="P49:W49"/>
    <mergeCell ref="B50:G50"/>
    <mergeCell ref="H50:M50"/>
    <mergeCell ref="P50:S50"/>
    <mergeCell ref="T50:W50"/>
    <mergeCell ref="S41:S43"/>
    <mergeCell ref="W41:W43"/>
    <mergeCell ref="B44:B46"/>
    <mergeCell ref="F44:F46"/>
    <mergeCell ref="G44:G46"/>
    <mergeCell ref="H44:H46"/>
    <mergeCell ref="L44:L46"/>
    <mergeCell ref="M44:M46"/>
    <mergeCell ref="C40:E40"/>
    <mergeCell ref="I40:K40"/>
    <mergeCell ref="P40:R40"/>
    <mergeCell ref="T40:V40"/>
    <mergeCell ref="B41:B43"/>
    <mergeCell ref="F41:F43"/>
    <mergeCell ref="G41:G43"/>
    <mergeCell ref="H41:H43"/>
    <mergeCell ref="L41:L43"/>
    <mergeCell ref="M41:M43"/>
    <mergeCell ref="B37:M37"/>
    <mergeCell ref="P37:W37"/>
    <mergeCell ref="B38:M38"/>
    <mergeCell ref="P38:W38"/>
    <mergeCell ref="B39:G39"/>
    <mergeCell ref="H39:M39"/>
    <mergeCell ref="P39:S39"/>
    <mergeCell ref="T39:W39"/>
    <mergeCell ref="S30:S32"/>
    <mergeCell ref="W30:W32"/>
    <mergeCell ref="B33:B35"/>
    <mergeCell ref="F33:F35"/>
    <mergeCell ref="G33:G35"/>
    <mergeCell ref="H33:H35"/>
    <mergeCell ref="L33:L35"/>
    <mergeCell ref="M33:M35"/>
    <mergeCell ref="C29:E29"/>
    <mergeCell ref="I29:K29"/>
    <mergeCell ref="P29:R29"/>
    <mergeCell ref="T29:V29"/>
    <mergeCell ref="B30:B32"/>
    <mergeCell ref="F30:F32"/>
    <mergeCell ref="G30:G32"/>
    <mergeCell ref="H30:H32"/>
    <mergeCell ref="L30:L32"/>
    <mergeCell ref="M30:M32"/>
    <mergeCell ref="B26:M26"/>
    <mergeCell ref="P26:W26"/>
    <mergeCell ref="B27:M27"/>
    <mergeCell ref="P27:W27"/>
    <mergeCell ref="B28:G28"/>
    <mergeCell ref="H28:M28"/>
    <mergeCell ref="P28:S28"/>
    <mergeCell ref="T28:W28"/>
    <mergeCell ref="S19:S21"/>
    <mergeCell ref="W19:W21"/>
    <mergeCell ref="B22:B24"/>
    <mergeCell ref="F22:F24"/>
    <mergeCell ref="G22:G24"/>
    <mergeCell ref="H22:H24"/>
    <mergeCell ref="L22:L24"/>
    <mergeCell ref="M22:M24"/>
    <mergeCell ref="B16:M16"/>
    <mergeCell ref="P16:W16"/>
    <mergeCell ref="C18:E18"/>
    <mergeCell ref="I18:K18"/>
    <mergeCell ref="P18:R18"/>
    <mergeCell ref="T18:V18"/>
    <mergeCell ref="B19:B21"/>
    <mergeCell ref="F19:F21"/>
    <mergeCell ref="G19:G21"/>
    <mergeCell ref="H19:H21"/>
    <mergeCell ref="L19:L21"/>
    <mergeCell ref="M19:M21"/>
    <mergeCell ref="C7:E7"/>
    <mergeCell ref="I7:K7"/>
    <mergeCell ref="P7:R7"/>
    <mergeCell ref="T7:V7"/>
    <mergeCell ref="B17:G17"/>
    <mergeCell ref="H17:M17"/>
    <mergeCell ref="P17:S17"/>
    <mergeCell ref="T17:W17"/>
    <mergeCell ref="S8:S10"/>
    <mergeCell ref="W8:W10"/>
    <mergeCell ref="B11:B13"/>
    <mergeCell ref="F11:F13"/>
    <mergeCell ref="G11:G13"/>
    <mergeCell ref="H11:H13"/>
    <mergeCell ref="L11:L13"/>
    <mergeCell ref="M11:M13"/>
    <mergeCell ref="B8:B10"/>
    <mergeCell ref="F8:F10"/>
    <mergeCell ref="G8:G10"/>
    <mergeCell ref="H8:H10"/>
    <mergeCell ref="L8:L10"/>
    <mergeCell ref="M8:M10"/>
    <mergeCell ref="B15:M15"/>
    <mergeCell ref="P15:W15"/>
    <mergeCell ref="B2:K2"/>
    <mergeCell ref="B4:M4"/>
    <mergeCell ref="P4:W4"/>
    <mergeCell ref="B5:M5"/>
    <mergeCell ref="P5:W5"/>
    <mergeCell ref="B6:G6"/>
    <mergeCell ref="H6:M6"/>
    <mergeCell ref="P6:S6"/>
    <mergeCell ref="T6:W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Point Measurement Data</vt:lpstr>
    </vt:vector>
  </TitlesOfParts>
  <Company>Navigant Consulting,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Rotolo</dc:creator>
  <cp:lastModifiedBy>Chris Yoder</cp:lastModifiedBy>
  <dcterms:created xsi:type="dcterms:W3CDTF">2011-09-12T19:42:02Z</dcterms:created>
  <dcterms:modified xsi:type="dcterms:W3CDTF">2011-09-15T20:24:45Z</dcterms:modified>
</cp:coreProperties>
</file>