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0" yWindow="-30" windowWidth="19110" windowHeight="11865" tabRatio="861"/>
  </bookViews>
  <sheets>
    <sheet name="1. Instructions" sheetId="29" r:id="rId1"/>
    <sheet name="2. Shipments" sheetId="1" r:id="rId2"/>
    <sheet name="3. Lifetimes" sheetId="2" r:id="rId3"/>
    <sheet name="4. EPS Efficiency Distribution" sheetId="41" r:id="rId4"/>
    <sheet name="5. BC Efficiency NOPR" sheetId="42" r:id="rId5"/>
    <sheet name="6. Markup Source Info" sheetId="16" r:id="rId6"/>
    <sheet name="7. Base MUs by Prod Cat" sheetId="17" r:id="rId7"/>
    <sheet name="8. Incr MUs by Prod Cat" sheetId="26" r:id="rId8"/>
    <sheet name="9. Sales Tax" sheetId="19" r:id="rId9"/>
    <sheet name="10. EPS Outputs" sheetId="37" r:id="rId10"/>
    <sheet name="10. BC Outputs" sheetId="39" r:id="rId11"/>
    <sheet name="Bibliography" sheetId="35" r:id="rId12"/>
  </sheets>
  <externalReferences>
    <externalReference r:id="rId13"/>
    <externalReference r:id="rId14"/>
    <externalReference r:id="rId15"/>
    <externalReference r:id="rId16"/>
    <externalReference r:id="rId17"/>
    <externalReference r:id="rId18"/>
  </externalReferences>
  <definedNames>
    <definedName name="_Base26">'[1]LCC Summary'!$O$17</definedName>
    <definedName name="_Base27">'[1]LCC Summary'!$O$18</definedName>
    <definedName name="_Base28">'[1]LCC Summary'!$O$19</definedName>
    <definedName name="_Base29">'[1]LCC Summary'!$O$20</definedName>
    <definedName name="_Base30">'[1]LCC Summary'!$O$21</definedName>
    <definedName name="_Base31">'[1]LCC Summary'!$O$22</definedName>
    <definedName name="_E_Trend">'[1]Elec Price Trends'!$E$5</definedName>
    <definedName name="_Elec_Price_Trend">[1]Setup!$B$4:$B$7</definedName>
    <definedName name="_ElecPrice">'[1]Cash Flows'!$D$10:$D$38</definedName>
    <definedName name="_xlnm._FilterDatabase" localSheetId="1" hidden="1">'2. Shipments'!$F$4:$CW$86</definedName>
    <definedName name="_xlnm._FilterDatabase" localSheetId="3" hidden="1">'4. EPS Efficiency Distribution'!$A$3:$AP$3</definedName>
    <definedName name="_iBC">'[1]Cash Flows'!$F$85:$CK$85</definedName>
    <definedName name="_iClassAEPS">'[1]Cash Flows'!$F$46:$AN$46</definedName>
    <definedName name="_iNCAEPS">'[1]Cash Flows'!$F$7:$AU$7</definedName>
    <definedName name="_Lifetime">[1]Setup!$G$4:$G$6</definedName>
    <definedName name="_MarketDist_Name">[1]Setup!$I$4:$I$5</definedName>
    <definedName name="_Sector_Name">[1]Setup!$C$4:$C$5</definedName>
    <definedName name="_StartYear">[1]Setup!$F$4:$F$8</definedName>
    <definedName name="AEOPrice_CommElec">'[1]Elec Price Trends'!$V$19:$Y$56</definedName>
    <definedName name="AEOPrice_ResElec">'[1]Elec Price Trends'!$H$19:$K$56</definedName>
    <definedName name="App_num">'4. EPS Efficiency Distribution'!$B$4:$B$119</definedName>
    <definedName name="Application_num">'[2]Test Data'!$E$4:$E$227</definedName>
    <definedName name="Application_num_bc">'5. BC Efficiency NOPR'!$E$6:$E$229</definedName>
    <definedName name="ApplicationLoadingPointsList">'[3]Generic App Loading Points'!$A$4:$A$7</definedName>
    <definedName name="ApplicationLoadingPtHeadings">'[3]Usage and Loading'!$V$2:$AB$2</definedName>
    <definedName name="ApplicationUsageModeHeadings">'[3]Generic App Usage Profiles'!$B$3:$J$3</definedName>
    <definedName name="BaselineMarketDist">'[1]Base Case Eff Dist'!$C$34:$C$40</definedName>
    <definedName name="BCEPSDistributors">'6. Markup Source Info'!$A$81:$AM$84</definedName>
    <definedName name="CB_BC_ResultsHeader">'[1]BC Results'!$A$3:$HI$3</definedName>
    <definedName name="CB_BC_ResultSummary">'[1]BC Results'!$A$3:$HI$22</definedName>
    <definedName name="CB_EPS_ResultsHeader">'[1]EPS Results'!$A$3:$GQ$3</definedName>
    <definedName name="CB_EPS_ResultSummary">'[1]EPS Results'!$A$3:$GQ$22</definedName>
    <definedName name="Check_PGE">'[2]Test Data'!$AB$4:$AB$227</definedName>
    <definedName name="Check_PGE_bc">'5. BC Efficiency NOPR'!$AB$6:$AB$229</definedName>
    <definedName name="Check0">'4. EPS Efficiency Distribution'!$N$4:$N$119</definedName>
    <definedName name="Check0_BC">'5. BC Efficiency NOPR'!$X$6:$X$229</definedName>
    <definedName name="Check1">'4. EPS Efficiency Distribution'!$U$4:$U$119</definedName>
    <definedName name="Check1_BC">'5. BC Efficiency NOPR'!$Y$6:$Y$229</definedName>
    <definedName name="Check2">'4. EPS Efficiency Distribution'!$AB$4:$AB$119</definedName>
    <definedName name="Check2_BC">'5. BC Efficiency NOPR'!$Z$6:$Z$229</definedName>
    <definedName name="Check3">'4. EPS Efficiency Distribution'!$AI$4:$AI$119</definedName>
    <definedName name="Check3_BC">'5. BC Efficiency NOPR'!$AA$6:$AA$229</definedName>
    <definedName name="Check4">'4. EPS Efficiency Distribution'!$AP$4:$AP$119</definedName>
    <definedName name="Class_A1">#REF!</definedName>
    <definedName name="Comm_2007to2008_Ratio">'[1]Elec Price Trends'!$G$71:$J$71</definedName>
    <definedName name="Company_Info">#REF!</definedName>
    <definedName name="Company_Info_1">#REF!</definedName>
    <definedName name="Company_Markups" localSheetId="6">#REF!</definedName>
    <definedName name="Company_Markups">'6. Markup Source Info'!$A$2:$I$78</definedName>
    <definedName name="CompanyMarkups">'6. Markup Source Info'!$A$2:$I$78</definedName>
    <definedName name="ConversionNames">'[3]Ecos to D&amp;R Header Conversion'!$A$3:$A$739</definedName>
    <definedName name="D_Rate">'[1]Discount Rate'!$D$7</definedName>
    <definedName name="Distributors" localSheetId="6">#REF!</definedName>
    <definedName name="Distributors">'6. Markup Source Info'!$A$81:$I$84</definedName>
    <definedName name="Distributors_Inc">'6. Markup Source Info'!$A$81:$AN$84</definedName>
    <definedName name="Distributors1">'6. Markup Source Info'!$A$81:$I$84</definedName>
    <definedName name="Elec_Price">'[1]Elec Prices'!$C$19:$D$19</definedName>
    <definedName name="Elec_Price_Trend">[1]Setup!$B$11</definedName>
    <definedName name="elec_PriceTrends">'[1]Elec Price Trends'!$C$15:$D$52</definedName>
    <definedName name="f">#N/A</definedName>
    <definedName name="GenericLoadingPoints">'[3]Generic App Loading Points'!$A$3:$J$6</definedName>
    <definedName name="GenericUsageProfileNames">'[3]Generic App Usage Profiles'!$A$5:$A$88</definedName>
    <definedName name="GenericUsageProfiles">'[3]Generic App Usage Profiles'!$A$4:$J$88</definedName>
    <definedName name="ImportanceRanking">'[3]Cover Sheet'!$A$77:$A$79</definedName>
    <definedName name="level_BC1">'[1]LCC Summary'!$AD$34:$AD$105</definedName>
    <definedName name="level_BC2">'[1]LCC Summary'!$AT$34:$AT$105</definedName>
    <definedName name="level_ClassAEPS">'[1]LCC Summary'!$P$34:$P$92</definedName>
    <definedName name="level_NCAEPS">'[1]LCC Summary'!$B$34:$B$105</definedName>
    <definedName name="Lifetime">[1]Setup!$G$11</definedName>
    <definedName name="Lifetime_Num">[1]Setup!$H$11</definedName>
    <definedName name="Loading_Points_List">'[3]Generic App Loading Points'!$A$4:$A$6</definedName>
    <definedName name="LoadingPointHeadings">'[3]Generic App Loading Points'!$B$2:$I$2</definedName>
    <definedName name="M_RepUnit1">#REF!</definedName>
    <definedName name="M_RepUnit10">#REF!</definedName>
    <definedName name="M_RepUnit11">#REF!</definedName>
    <definedName name="M_RepUnit12">#REF!</definedName>
    <definedName name="M_RepUnit13">#REF!</definedName>
    <definedName name="M_RepUnit14">#REF!</definedName>
    <definedName name="M_RepUnit2">#REF!</definedName>
    <definedName name="M_RepUnit20">#REF!</definedName>
    <definedName name="M_RepUnit21">#REF!</definedName>
    <definedName name="M_RepUnit22">#REF!</definedName>
    <definedName name="M_RepUnit23">#REF!</definedName>
    <definedName name="M_RepUnit24">#REF!</definedName>
    <definedName name="M_RepUnit25">#REF!</definedName>
    <definedName name="M_RepUnit26">#REF!</definedName>
    <definedName name="M_RepUnit27">#REF!</definedName>
    <definedName name="M_RepUnit28">#REF!</definedName>
    <definedName name="M_RepUnit29">#REF!</definedName>
    <definedName name="M_RepUnit3">#REF!</definedName>
    <definedName name="M_RepUnit30">#REF!</definedName>
    <definedName name="M_RepUnit31">#REF!</definedName>
    <definedName name="M_RepUnit4">#REF!</definedName>
    <definedName name="M_RepUnit5">#REF!</definedName>
    <definedName name="M_RepUnit6">#REF!</definedName>
    <definedName name="MarketDist">[1]Setup!$J$11</definedName>
    <definedName name="MarketDist_Name">[1]Setup!$I$11</definedName>
    <definedName name="Markups">'6. Markup Source Info'!$A$2:$AM$78</definedName>
    <definedName name="Markups_Inc">'6. Markup Source Info'!$A$2:$AN$78</definedName>
    <definedName name="MaxUnits">#REF!</definedName>
    <definedName name="OptCB">[1]Setup!$E$11</definedName>
    <definedName name="PC_1">#REF!</definedName>
    <definedName name="PC_10">#REF!</definedName>
    <definedName name="PC_2">#REF!</definedName>
    <definedName name="PC_3">#REF!</definedName>
    <definedName name="PC_4">#REF!</definedName>
    <definedName name="PC_5">#REF!</definedName>
    <definedName name="PC_6">#REF!</definedName>
    <definedName name="PC_7">#REF!</definedName>
    <definedName name="PC_8">#REF!</definedName>
    <definedName name="PC_9">#REF!</definedName>
    <definedName name="PC_A1">#REF!</definedName>
    <definedName name="PC_A2">#REF!</definedName>
    <definedName name="PC_A3">#REF!</definedName>
    <definedName name="PC_A4">#REF!</definedName>
    <definedName name="PC_B1">#REF!</definedName>
    <definedName name="PC_B2">#REF!</definedName>
    <definedName name="PC_B3">#REF!</definedName>
    <definedName name="PC_B4">#REF!</definedName>
    <definedName name="PC_H1">#REF!</definedName>
    <definedName name="PC_M1">#REF!</definedName>
    <definedName name="PC_M2">#REF!</definedName>
    <definedName name="PC_M3">#REF!</definedName>
    <definedName name="PC_M4">#REF!</definedName>
    <definedName name="PC_num">'[2]Test Data'!$F$4:$F$227</definedName>
    <definedName name="PC_num_BC">'5. BC Efficiency NOPR'!$F$6:$F$229</definedName>
    <definedName name="PC_X1">#REF!</definedName>
    <definedName name="PC_X2">#REF!</definedName>
    <definedName name="_xlnm.Print_Area" localSheetId="6">'7. Base MUs by Prod Cat'!$A$1:$Q$140</definedName>
    <definedName name="ProdClasses">'[4]Usage Profiles'!$A$83:$A$92</definedName>
    <definedName name="Product_Class">'5. BC Efficiency NOPR'!$A$235:$Z$244</definedName>
    <definedName name="PWF">'[1]Cash Flows'!$E$10:$E$38</definedName>
    <definedName name="Region_Selected">'[1]Elec Prices'!$D$26</definedName>
    <definedName name="Rep_num">'4. EPS Efficiency Distribution'!$G$4:$G$119</definedName>
    <definedName name="RepUnits_Energies">'[4]Usage Profiles'!$E$83:$E$92</definedName>
    <definedName name="RepUnits_Voltages">'[4]Usage Profiles'!$D$83:$D$92</definedName>
    <definedName name="Res_2007to2008_Ratio">'[1]Elec Price Trends'!$C$71:$F$71</definedName>
    <definedName name="Results">'4. EPS Efficiency Distribution'!$A$124:$U$154</definedName>
    <definedName name="Results_bc">'5. BC Efficiency NOPR'!$AD$90:$AQ$162</definedName>
    <definedName name="RU_A1a">#REF!</definedName>
    <definedName name="RU_A1b">#REF!</definedName>
    <definedName name="RU_A1c">#REF!</definedName>
    <definedName name="RU_A1d">#REF!</definedName>
    <definedName name="S_CPI07">'[1]Elec Prices'!$H$30</definedName>
    <definedName name="S_CPI08">'[1]Elec Prices'!$H$31</definedName>
    <definedName name="SalesTax_Header">[1]Markups!$E$4:$I$4</definedName>
    <definedName name="SalesTaxRate">[1]Markups!$C$9</definedName>
    <definedName name="Sector">[1]Setup!$D$11</definedName>
    <definedName name="Sector_Name">[1]Setup!$C$11</definedName>
    <definedName name="StartYear">[1]Setup!$F$11</definedName>
    <definedName name="TestHeadings">[4]Tests!$B$3:$CZ$3</definedName>
    <definedName name="TestNumbers">[4]Tests!$A$4:$A$146</definedName>
    <definedName name="UsageConversion">'[3]Ecos to D&amp;R Header Conversion'!$D$3:$G$739</definedName>
    <definedName name="V_Eff_Level_numbers">'[1]Unit Price'!$B$8:$B$14</definedName>
    <definedName name="V_Header_BC_RepUnit">'[1]Rep Unit Summary'!$B$25:$G$25</definedName>
    <definedName name="V_Header_ClassAEPS_RepUnit">'[1]Rep Unit Summary'!$B$17:$G$17</definedName>
    <definedName name="V_Levels_RepUnit1">#REF!</definedName>
    <definedName name="V_Levels_RepUnit10">#REF!</definedName>
    <definedName name="V_Levels_RepUnit11">#REF!</definedName>
    <definedName name="V_Levels_RepUnit12">#REF!</definedName>
    <definedName name="V_Levels_RepUnit13">#REF!</definedName>
    <definedName name="V_Levels_RepUnit14">#REF!</definedName>
    <definedName name="V_Levels_RepUnit2">#REF!</definedName>
    <definedName name="V_Levels_RepUnit20">#REF!</definedName>
    <definedName name="V_Levels_RepUnit21">#REF!</definedName>
    <definedName name="V_Levels_RepUnit22">#REF!</definedName>
    <definedName name="V_Levels_RepUnit23">#REF!</definedName>
    <definedName name="V_Levels_RepUnit24">#REF!</definedName>
    <definedName name="V_Levels_RepUnit25">#REF!</definedName>
    <definedName name="V_Levels_RepUnit26">#REF!</definedName>
    <definedName name="V_Levels_RepUnit27">#REF!</definedName>
    <definedName name="V_Levels_RepUnit28">#REF!</definedName>
    <definedName name="V_Levels_RepUnit29">#REF!</definedName>
    <definedName name="V_Levels_RepUnit3">#REF!</definedName>
    <definedName name="V_Levels_RepUnit30">#REF!</definedName>
    <definedName name="V_Levels_RepUnit31">#REF!</definedName>
    <definedName name="V_Levels_RepUnit4">#REF!</definedName>
    <definedName name="V_Levels_RepUnit5">#REF!</definedName>
    <definedName name="V_Levels_RepUnit6">#REF!</definedName>
    <definedName name="V_packagedetails">[5]Vars!$B$4:$E$5</definedName>
    <definedName name="V_Pouts_Labels">[6]Vars!$C$53:$CM$53</definedName>
    <definedName name="V_RepUnit1">'[1]Rep Unit Summary'!#REF!</definedName>
    <definedName name="V_RepUnit10">'[1]Rep Unit Summary'!#REF!</definedName>
    <definedName name="V_RepUnit11">'[1]Rep Unit Summary'!#REF!</definedName>
    <definedName name="V_RepUnit12">'[1]Rep Unit Summary'!#REF!</definedName>
    <definedName name="V_RepUnit13">'[1]Rep Unit Summary'!#REF!</definedName>
    <definedName name="V_RepUnit14">'[1]Rep Unit Summary'!#REF!</definedName>
    <definedName name="V_RepUnit2">'[1]Rep Unit Summary'!#REF!</definedName>
    <definedName name="V_RepUnit20">'[1]Rep Unit Summary'!#REF!</definedName>
    <definedName name="V_RepUnit21">'[1]Rep Unit Summary'!#REF!</definedName>
    <definedName name="V_RepUnit22">'[1]Rep Unit Summary'!#REF!</definedName>
    <definedName name="V_RepUnit23">'[1]Rep Unit Summary'!#REF!</definedName>
    <definedName name="V_RepUnit24">'[1]Rep Unit Summary'!#REF!</definedName>
    <definedName name="V_RepUnit25">'[1]Rep Unit Summary'!#REF!</definedName>
    <definedName name="V_RepUnit26">'[1]Rep Unit Summary'!#REF!</definedName>
    <definedName name="V_RepUnit27">'[1]Rep Unit Summary'!#REF!</definedName>
    <definedName name="V_RepUnit28">'[1]Rep Unit Summary'!#REF!</definedName>
    <definedName name="V_RepUnit29">'[1]Rep Unit Summary'!#REF!</definedName>
    <definedName name="V_RepUnit3">'[1]Rep Unit Summary'!#REF!</definedName>
    <definedName name="V_RepUnit30">'[1]Rep Unit Summary'!#REF!</definedName>
    <definedName name="V_RepUnit31">'[1]Rep Unit Summary'!#REF!</definedName>
    <definedName name="V_RepUnit4">'[1]Rep Unit Summary'!#REF!</definedName>
    <definedName name="V_RepUnit5">'[1]Rep Unit Summary'!#REF!</definedName>
    <definedName name="V_RepUnit6">'[1]Rep Unit Summary'!#REF!</definedName>
    <definedName name="V_Unit1_Description">'[1]NCA EPS Inputs'!$A$8:$G$8</definedName>
    <definedName name="V_Unit10_Description">'[1]Class A EPS Inputs'!$A$8:$F$8</definedName>
    <definedName name="V_Unit11_Description">'[1]Class A EPS Inputs'!$A$22:$F$22</definedName>
    <definedName name="V_Unit12_Description">'[1]Class A EPS Inputs'!$A$36:$F$36</definedName>
    <definedName name="V_Unit13_Description">'[1]Class A EPS Inputs'!$A$50:$F$50</definedName>
    <definedName name="V_Unit14_Description">'[1]Class A EPS Inputs'!$A$64:$F$64</definedName>
    <definedName name="V_Unit2_Description">'[1]NCA EPS Inputs'!$A$22:$G$22</definedName>
    <definedName name="V_Unit20_Description">'[1]BC Inputs'!$A$8:$F$8</definedName>
    <definedName name="V_Unit21_Description">'[1]BC Inputs'!$A$22:$F$22</definedName>
    <definedName name="V_Unit22_Description">'[1]BC Inputs'!$A$36:$F$36</definedName>
    <definedName name="V_Unit23_Description">'[1]BC Inputs'!$A$50:$F$50</definedName>
    <definedName name="V_Unit24_Description">'[1]BC Inputs'!$A$64:$F$64</definedName>
    <definedName name="V_Unit25_Description">'[1]BC Inputs'!$A$78:$F$78</definedName>
    <definedName name="V_Unit26_Description">'[1]BC Inputs'!$A$92:$F$92</definedName>
    <definedName name="V_Unit27_Description">'[1]BC Inputs'!$A$106:$F$106</definedName>
    <definedName name="V_Unit28_Description">'[1]BC Inputs'!$A$120:$F$120</definedName>
    <definedName name="V_Unit29_Description">'[1]BC Inputs'!$A$134:$F$134</definedName>
    <definedName name="V_Unit3_Description">'[1]NCA EPS Inputs'!$A$36:$G$36</definedName>
    <definedName name="V_Unit30_Description">'[1]BC Inputs'!$A$148:$F$148</definedName>
    <definedName name="V_Unit31_Description">'[1]BC Inputs'!$A$162:$F$162</definedName>
    <definedName name="V_Unit4_Description">'[1]NCA EPS Inputs'!$A$50:$G$50</definedName>
    <definedName name="V_Unit5_Description">'[1]NCA EPS Inputs'!$A$64:$G$64</definedName>
    <definedName name="V_Unit6_Description">'[1]NCA EPS Inputs'!$A$78:$G$78</definedName>
    <definedName name="yr0">'[1]Elec Price Trends'!$G$19</definedName>
  </definedNames>
  <calcPr calcId="125725"/>
</workbook>
</file>

<file path=xl/calcChain.xml><?xml version="1.0" encoding="utf-8"?>
<calcChain xmlns="http://schemas.openxmlformats.org/spreadsheetml/2006/main">
  <c r="AG7" i="42"/>
  <c r="AH7"/>
  <c r="AI7"/>
  <c r="AJ7"/>
  <c r="AG9"/>
  <c r="AH9"/>
  <c r="AI9"/>
  <c r="AJ9"/>
  <c r="AG10"/>
  <c r="AH10"/>
  <c r="AI10"/>
  <c r="AJ10"/>
  <c r="AG12"/>
  <c r="AH12"/>
  <c r="AI12"/>
  <c r="AJ12"/>
  <c r="AG19"/>
  <c r="AH19"/>
  <c r="AI19"/>
  <c r="AJ19"/>
  <c r="AG20"/>
  <c r="AH20"/>
  <c r="AI20"/>
  <c r="AJ20"/>
  <c r="AG22"/>
  <c r="AH22"/>
  <c r="AI22"/>
  <c r="AJ22"/>
  <c r="AG23"/>
  <c r="AH23"/>
  <c r="AI23"/>
  <c r="AJ23"/>
  <c r="AG25"/>
  <c r="AH25"/>
  <c r="AI25"/>
  <c r="AJ25"/>
  <c r="AG36"/>
  <c r="AH36"/>
  <c r="AI36"/>
  <c r="AJ36"/>
  <c r="AG39"/>
  <c r="AH39"/>
  <c r="AI39"/>
  <c r="AJ39"/>
  <c r="AG41"/>
  <c r="AH41"/>
  <c r="AI41"/>
  <c r="AJ41"/>
  <c r="AG49"/>
  <c r="AH49"/>
  <c r="AI49"/>
  <c r="AJ49"/>
  <c r="AG50"/>
  <c r="AH50"/>
  <c r="AI50"/>
  <c r="AJ50"/>
  <c r="AG56"/>
  <c r="AH56"/>
  <c r="AI56"/>
  <c r="AJ56"/>
  <c r="AG58"/>
  <c r="AH58"/>
  <c r="AI58"/>
  <c r="AJ58"/>
  <c r="AG60"/>
  <c r="AH60"/>
  <c r="AI60"/>
  <c r="AJ60"/>
  <c r="AG61"/>
  <c r="AH61"/>
  <c r="AI61"/>
  <c r="AJ61"/>
  <c r="AG74"/>
  <c r="AH74"/>
  <c r="AI74"/>
  <c r="AJ74"/>
  <c r="AG78"/>
  <c r="AH78"/>
  <c r="AI78"/>
  <c r="AJ78"/>
  <c r="AG79"/>
  <c r="AH79"/>
  <c r="AI79"/>
  <c r="AJ79"/>
  <c r="AG80"/>
  <c r="AH80"/>
  <c r="AI80"/>
  <c r="AJ80"/>
  <c r="AG85"/>
  <c r="AH85"/>
  <c r="AI85"/>
  <c r="AJ85"/>
  <c r="AJ6"/>
  <c r="AI6"/>
  <c r="AH6"/>
  <c r="AG6"/>
  <c r="W229"/>
  <c r="V229"/>
  <c r="U229"/>
  <c r="T229"/>
  <c r="S229"/>
  <c r="W228"/>
  <c r="V228"/>
  <c r="U228"/>
  <c r="T228"/>
  <c r="S228"/>
  <c r="W227"/>
  <c r="V227"/>
  <c r="U227"/>
  <c r="T227"/>
  <c r="S227"/>
  <c r="W226"/>
  <c r="V226"/>
  <c r="U226"/>
  <c r="T226"/>
  <c r="S226"/>
  <c r="W225"/>
  <c r="V225"/>
  <c r="U225"/>
  <c r="T225"/>
  <c r="S225"/>
  <c r="W224"/>
  <c r="V224"/>
  <c r="U224"/>
  <c r="T224"/>
  <c r="S224"/>
  <c r="W223"/>
  <c r="V223"/>
  <c r="U223"/>
  <c r="T223"/>
  <c r="S223"/>
  <c r="W222"/>
  <c r="V222"/>
  <c r="U222"/>
  <c r="T222"/>
  <c r="S222"/>
  <c r="W221"/>
  <c r="V221"/>
  <c r="U221"/>
  <c r="T221"/>
  <c r="S221"/>
  <c r="W220"/>
  <c r="V220"/>
  <c r="U220"/>
  <c r="T220"/>
  <c r="S220"/>
  <c r="W219"/>
  <c r="V219"/>
  <c r="U219"/>
  <c r="T219"/>
  <c r="S219"/>
  <c r="W218"/>
  <c r="V218"/>
  <c r="U218"/>
  <c r="T218"/>
  <c r="S218"/>
  <c r="W217"/>
  <c r="V217"/>
  <c r="U217"/>
  <c r="T217"/>
  <c r="S217"/>
  <c r="W216"/>
  <c r="V216"/>
  <c r="U216"/>
  <c r="T216"/>
  <c r="S216"/>
  <c r="W215"/>
  <c r="V215"/>
  <c r="U215"/>
  <c r="T215"/>
  <c r="S215"/>
  <c r="W214"/>
  <c r="V214"/>
  <c r="U214"/>
  <c r="T214"/>
  <c r="S214"/>
  <c r="W213"/>
  <c r="V213"/>
  <c r="U213"/>
  <c r="T213"/>
  <c r="S213"/>
  <c r="W212"/>
  <c r="V212"/>
  <c r="U212"/>
  <c r="T212"/>
  <c r="S212"/>
  <c r="W211"/>
  <c r="V211"/>
  <c r="U211"/>
  <c r="T211"/>
  <c r="S211"/>
  <c r="W210"/>
  <c r="V210"/>
  <c r="U210"/>
  <c r="T210"/>
  <c r="S210"/>
  <c r="W209"/>
  <c r="V209"/>
  <c r="U209"/>
  <c r="T209"/>
  <c r="S209"/>
  <c r="W208"/>
  <c r="V208"/>
  <c r="U208"/>
  <c r="T208"/>
  <c r="S208"/>
  <c r="W207"/>
  <c r="V207"/>
  <c r="U207"/>
  <c r="T207"/>
  <c r="S207"/>
  <c r="W206"/>
  <c r="V206"/>
  <c r="U206"/>
  <c r="T206"/>
  <c r="S206"/>
  <c r="W205"/>
  <c r="V205"/>
  <c r="U205"/>
  <c r="T205"/>
  <c r="S205"/>
  <c r="W204"/>
  <c r="V204"/>
  <c r="U204"/>
  <c r="T204"/>
  <c r="S204"/>
  <c r="W203"/>
  <c r="V203"/>
  <c r="U203"/>
  <c r="T203"/>
  <c r="S203"/>
  <c r="W202"/>
  <c r="V202"/>
  <c r="U202"/>
  <c r="T202"/>
  <c r="S202"/>
  <c r="W201"/>
  <c r="V201"/>
  <c r="U201"/>
  <c r="T201"/>
  <c r="S201"/>
  <c r="W200"/>
  <c r="V200"/>
  <c r="U200"/>
  <c r="T200"/>
  <c r="S200"/>
  <c r="W199"/>
  <c r="V199"/>
  <c r="U199"/>
  <c r="T199"/>
  <c r="S199"/>
  <c r="W198"/>
  <c r="V198"/>
  <c r="U198"/>
  <c r="T198"/>
  <c r="S198"/>
  <c r="W197"/>
  <c r="V197"/>
  <c r="U197"/>
  <c r="T197"/>
  <c r="S197"/>
  <c r="W196"/>
  <c r="V196"/>
  <c r="U196"/>
  <c r="T196"/>
  <c r="S196"/>
  <c r="W195"/>
  <c r="V195"/>
  <c r="U195"/>
  <c r="T195"/>
  <c r="S195"/>
  <c r="W194"/>
  <c r="V194"/>
  <c r="U194"/>
  <c r="T194"/>
  <c r="S194"/>
  <c r="W193"/>
  <c r="V193"/>
  <c r="U193"/>
  <c r="T193"/>
  <c r="S193"/>
  <c r="W192"/>
  <c r="V192"/>
  <c r="U192"/>
  <c r="T192"/>
  <c r="S192"/>
  <c r="W191"/>
  <c r="V191"/>
  <c r="U191"/>
  <c r="T191"/>
  <c r="S191"/>
  <c r="W190"/>
  <c r="V190"/>
  <c r="U190"/>
  <c r="T190"/>
  <c r="S190"/>
  <c r="W189"/>
  <c r="V189"/>
  <c r="U189"/>
  <c r="T189"/>
  <c r="S189"/>
  <c r="W188"/>
  <c r="V188"/>
  <c r="U188"/>
  <c r="T188"/>
  <c r="S188"/>
  <c r="W187"/>
  <c r="V187"/>
  <c r="U187"/>
  <c r="T187"/>
  <c r="S187"/>
  <c r="W186"/>
  <c r="V186"/>
  <c r="U186"/>
  <c r="T186"/>
  <c r="S186"/>
  <c r="W185"/>
  <c r="V185"/>
  <c r="U185"/>
  <c r="T185"/>
  <c r="S185"/>
  <c r="W184"/>
  <c r="V184"/>
  <c r="U184"/>
  <c r="T184"/>
  <c r="S184"/>
  <c r="W183"/>
  <c r="V183"/>
  <c r="U183"/>
  <c r="T183"/>
  <c r="S183"/>
  <c r="W182"/>
  <c r="V182"/>
  <c r="U182"/>
  <c r="T182"/>
  <c r="S182"/>
  <c r="W181"/>
  <c r="V181"/>
  <c r="U181"/>
  <c r="T181"/>
  <c r="S181"/>
  <c r="W180"/>
  <c r="V180"/>
  <c r="U180"/>
  <c r="T180"/>
  <c r="S180"/>
  <c r="W179"/>
  <c r="V179"/>
  <c r="U179"/>
  <c r="T179"/>
  <c r="S179"/>
  <c r="W178"/>
  <c r="V178"/>
  <c r="U178"/>
  <c r="T178"/>
  <c r="S178"/>
  <c r="W177"/>
  <c r="V177"/>
  <c r="U177"/>
  <c r="T177"/>
  <c r="S177"/>
  <c r="W176"/>
  <c r="V176"/>
  <c r="U176"/>
  <c r="T176"/>
  <c r="S176"/>
  <c r="W175"/>
  <c r="V175"/>
  <c r="U175"/>
  <c r="T175"/>
  <c r="S175"/>
  <c r="W174"/>
  <c r="V174"/>
  <c r="U174"/>
  <c r="T174"/>
  <c r="S174"/>
  <c r="W173"/>
  <c r="V173"/>
  <c r="U173"/>
  <c r="T173"/>
  <c r="S173"/>
  <c r="W172"/>
  <c r="V172"/>
  <c r="U172"/>
  <c r="T172"/>
  <c r="S172"/>
  <c r="W171"/>
  <c r="V171"/>
  <c r="U171"/>
  <c r="T171"/>
  <c r="S171"/>
  <c r="W170"/>
  <c r="V170"/>
  <c r="U170"/>
  <c r="T170"/>
  <c r="S170"/>
  <c r="W169"/>
  <c r="V169"/>
  <c r="U169"/>
  <c r="T169"/>
  <c r="S169"/>
  <c r="W168"/>
  <c r="V168"/>
  <c r="U168"/>
  <c r="T168"/>
  <c r="S168"/>
  <c r="W167"/>
  <c r="V167"/>
  <c r="U167"/>
  <c r="T167"/>
  <c r="S167"/>
  <c r="W166"/>
  <c r="V166"/>
  <c r="U166"/>
  <c r="T166"/>
  <c r="S166"/>
  <c r="W165"/>
  <c r="V165"/>
  <c r="U165"/>
  <c r="T165"/>
  <c r="S165"/>
  <c r="W164"/>
  <c r="V164"/>
  <c r="U164"/>
  <c r="T164"/>
  <c r="S164"/>
  <c r="W163"/>
  <c r="V163"/>
  <c r="U163"/>
  <c r="T163"/>
  <c r="S163"/>
  <c r="W162"/>
  <c r="V162"/>
  <c r="U162"/>
  <c r="T162"/>
  <c r="S162"/>
  <c r="AG161"/>
  <c r="W161"/>
  <c r="V161"/>
  <c r="U161"/>
  <c r="T161"/>
  <c r="S161"/>
  <c r="AG160"/>
  <c r="W160"/>
  <c r="V160"/>
  <c r="U160"/>
  <c r="T160"/>
  <c r="S160"/>
  <c r="AL159"/>
  <c r="AK159"/>
  <c r="AJ159"/>
  <c r="AI159"/>
  <c r="AH159"/>
  <c r="AG159"/>
  <c r="AP159" s="1"/>
  <c r="W159"/>
  <c r="V159"/>
  <c r="U159"/>
  <c r="T159"/>
  <c r="S159"/>
  <c r="AG158"/>
  <c r="W158"/>
  <c r="V158"/>
  <c r="U158"/>
  <c r="T158"/>
  <c r="S158"/>
  <c r="AG157"/>
  <c r="W157"/>
  <c r="V157"/>
  <c r="U157"/>
  <c r="T157"/>
  <c r="S157"/>
  <c r="AG156"/>
  <c r="W156"/>
  <c r="V156"/>
  <c r="U156"/>
  <c r="T156"/>
  <c r="S156"/>
  <c r="AL155"/>
  <c r="AK155"/>
  <c r="AJ155"/>
  <c r="AI155"/>
  <c r="AH155"/>
  <c r="AG155"/>
  <c r="AP155" s="1"/>
  <c r="W155"/>
  <c r="V155"/>
  <c r="U155"/>
  <c r="T155"/>
  <c r="S155"/>
  <c r="AL154"/>
  <c r="AK154"/>
  <c r="AJ154"/>
  <c r="AI154"/>
  <c r="AH154"/>
  <c r="AG154"/>
  <c r="AQ154" s="1"/>
  <c r="W154"/>
  <c r="V154"/>
  <c r="U154"/>
  <c r="T154"/>
  <c r="S154"/>
  <c r="AG153"/>
  <c r="W153"/>
  <c r="V153"/>
  <c r="U153"/>
  <c r="T153"/>
  <c r="S153"/>
  <c r="AG152"/>
  <c r="W152"/>
  <c r="V152"/>
  <c r="U152"/>
  <c r="T152"/>
  <c r="S152"/>
  <c r="AG151"/>
  <c r="W151"/>
  <c r="V151"/>
  <c r="U151"/>
  <c r="T151"/>
  <c r="S151"/>
  <c r="AG150"/>
  <c r="W150"/>
  <c r="V150"/>
  <c r="U150"/>
  <c r="T150"/>
  <c r="S150"/>
  <c r="AG149"/>
  <c r="W149"/>
  <c r="V149"/>
  <c r="U149"/>
  <c r="T149"/>
  <c r="S149"/>
  <c r="AL148"/>
  <c r="AK148"/>
  <c r="AJ148"/>
  <c r="AI148"/>
  <c r="AH148"/>
  <c r="AG148"/>
  <c r="AQ148" s="1"/>
  <c r="W148"/>
  <c r="V148"/>
  <c r="U148"/>
  <c r="T148"/>
  <c r="S148"/>
  <c r="AL147"/>
  <c r="AK147"/>
  <c r="AJ147"/>
  <c r="AI147"/>
  <c r="AH147"/>
  <c r="AG147"/>
  <c r="AP147" s="1"/>
  <c r="W147"/>
  <c r="V147"/>
  <c r="U147"/>
  <c r="T147"/>
  <c r="S147"/>
  <c r="AL146"/>
  <c r="AK146"/>
  <c r="AJ146"/>
  <c r="AI146"/>
  <c r="AH146"/>
  <c r="AG146"/>
  <c r="AQ146" s="1"/>
  <c r="W146"/>
  <c r="V146"/>
  <c r="U146"/>
  <c r="T146"/>
  <c r="S146"/>
  <c r="AG145"/>
  <c r="W145"/>
  <c r="V145"/>
  <c r="U145"/>
  <c r="T145"/>
  <c r="S145"/>
  <c r="AL144"/>
  <c r="AK144"/>
  <c r="AJ144"/>
  <c r="AI144"/>
  <c r="AH144"/>
  <c r="AG144"/>
  <c r="AQ144" s="1"/>
  <c r="W144"/>
  <c r="V144"/>
  <c r="U144"/>
  <c r="T144"/>
  <c r="S144"/>
  <c r="AL143"/>
  <c r="AK143"/>
  <c r="AJ143"/>
  <c r="AI143"/>
  <c r="AH143"/>
  <c r="AG143"/>
  <c r="AP143" s="1"/>
  <c r="W143"/>
  <c r="V143"/>
  <c r="U143"/>
  <c r="T143"/>
  <c r="S143"/>
  <c r="AL142"/>
  <c r="AK142"/>
  <c r="AJ142"/>
  <c r="AI142"/>
  <c r="AH142"/>
  <c r="AG142"/>
  <c r="AQ142" s="1"/>
  <c r="W142"/>
  <c r="V142"/>
  <c r="U142"/>
  <c r="T142"/>
  <c r="S142"/>
  <c r="AG141"/>
  <c r="W141"/>
  <c r="V141"/>
  <c r="U141"/>
  <c r="T141"/>
  <c r="S141"/>
  <c r="AG140"/>
  <c r="W140"/>
  <c r="V140"/>
  <c r="U140"/>
  <c r="T140"/>
  <c r="S140"/>
  <c r="AG139"/>
  <c r="W139"/>
  <c r="V139"/>
  <c r="U139"/>
  <c r="T139"/>
  <c r="S139"/>
  <c r="AG138"/>
  <c r="W138"/>
  <c r="V138"/>
  <c r="U138"/>
  <c r="T138"/>
  <c r="S138"/>
  <c r="AG137"/>
  <c r="W137"/>
  <c r="V137"/>
  <c r="U137"/>
  <c r="T137"/>
  <c r="S137"/>
  <c r="AG136"/>
  <c r="W136"/>
  <c r="V136"/>
  <c r="U136"/>
  <c r="T136"/>
  <c r="S136"/>
  <c r="AL135"/>
  <c r="AK135"/>
  <c r="AJ135"/>
  <c r="AI135"/>
  <c r="AH135"/>
  <c r="AG135"/>
  <c r="AP135" s="1"/>
  <c r="W135"/>
  <c r="V135"/>
  <c r="U135"/>
  <c r="T135"/>
  <c r="S135"/>
  <c r="AG134"/>
  <c r="W134"/>
  <c r="V134"/>
  <c r="U134"/>
  <c r="T134"/>
  <c r="S134"/>
  <c r="AG133"/>
  <c r="W133"/>
  <c r="V133"/>
  <c r="U133"/>
  <c r="T133"/>
  <c r="S133"/>
  <c r="AG132"/>
  <c r="W132"/>
  <c r="V132"/>
  <c r="U132"/>
  <c r="T132"/>
  <c r="S132"/>
  <c r="AL131"/>
  <c r="AK131"/>
  <c r="AJ131"/>
  <c r="AI131"/>
  <c r="AH131"/>
  <c r="AG131"/>
  <c r="W131"/>
  <c r="V131"/>
  <c r="U131"/>
  <c r="T131"/>
  <c r="S131"/>
  <c r="AG130"/>
  <c r="W130"/>
  <c r="V130"/>
  <c r="U130"/>
  <c r="T130"/>
  <c r="S130"/>
  <c r="AL129"/>
  <c r="AK129"/>
  <c r="AJ129"/>
  <c r="AI129"/>
  <c r="AH129"/>
  <c r="AG129"/>
  <c r="AQ129" s="1"/>
  <c r="W129"/>
  <c r="V129"/>
  <c r="U129"/>
  <c r="T129"/>
  <c r="S129"/>
  <c r="AL128"/>
  <c r="AK128"/>
  <c r="AJ128"/>
  <c r="AI128"/>
  <c r="AH128"/>
  <c r="AG128"/>
  <c r="AP128" s="1"/>
  <c r="W128"/>
  <c r="V128"/>
  <c r="U128"/>
  <c r="T128"/>
  <c r="S128"/>
  <c r="AL127"/>
  <c r="AK127"/>
  <c r="AJ127"/>
  <c r="AI127"/>
  <c r="AH127"/>
  <c r="AG127"/>
  <c r="AQ127" s="1"/>
  <c r="W127"/>
  <c r="V127"/>
  <c r="U127"/>
  <c r="T127"/>
  <c r="S127"/>
  <c r="AL126"/>
  <c r="AK126"/>
  <c r="AJ126"/>
  <c r="AI126"/>
  <c r="AH126"/>
  <c r="AG126"/>
  <c r="AP126" s="1"/>
  <c r="W126"/>
  <c r="V126"/>
  <c r="U126"/>
  <c r="T126"/>
  <c r="S126"/>
  <c r="AG125"/>
  <c r="W125"/>
  <c r="V125"/>
  <c r="U125"/>
  <c r="T125"/>
  <c r="S125"/>
  <c r="AL124"/>
  <c r="AK124"/>
  <c r="AJ124"/>
  <c r="AI124"/>
  <c r="AH124"/>
  <c r="AG124"/>
  <c r="AP124" s="1"/>
  <c r="W124"/>
  <c r="V124"/>
  <c r="U124"/>
  <c r="T124"/>
  <c r="S124"/>
  <c r="AG123"/>
  <c r="W123"/>
  <c r="V123"/>
  <c r="U123"/>
  <c r="T123"/>
  <c r="S123"/>
  <c r="AG122"/>
  <c r="W122"/>
  <c r="V122"/>
  <c r="U122"/>
  <c r="T122"/>
  <c r="S122"/>
  <c r="AL121"/>
  <c r="AK121"/>
  <c r="AJ121"/>
  <c r="AI121"/>
  <c r="AH121"/>
  <c r="AG121"/>
  <c r="AQ121" s="1"/>
  <c r="W121"/>
  <c r="V121"/>
  <c r="U121"/>
  <c r="T121"/>
  <c r="S121"/>
  <c r="AL120"/>
  <c r="AK120"/>
  <c r="AJ120"/>
  <c r="AI120"/>
  <c r="AH120"/>
  <c r="AG120"/>
  <c r="AP120" s="1"/>
  <c r="W120"/>
  <c r="V120"/>
  <c r="U120"/>
  <c r="T120"/>
  <c r="S120"/>
  <c r="AG119"/>
  <c r="W119"/>
  <c r="V119"/>
  <c r="U119"/>
  <c r="T119"/>
  <c r="S119"/>
  <c r="AG118"/>
  <c r="W118"/>
  <c r="V118"/>
  <c r="U118"/>
  <c r="T118"/>
  <c r="S118"/>
  <c r="AG117"/>
  <c r="W117"/>
  <c r="V117"/>
  <c r="U117"/>
  <c r="T117"/>
  <c r="S117"/>
  <c r="AL116"/>
  <c r="AK116"/>
  <c r="AJ116"/>
  <c r="AI116"/>
  <c r="AH116"/>
  <c r="AG116"/>
  <c r="AP116" s="1"/>
  <c r="W116"/>
  <c r="V116"/>
  <c r="U116"/>
  <c r="T116"/>
  <c r="S116"/>
  <c r="AG115"/>
  <c r="W115"/>
  <c r="V115"/>
  <c r="U115"/>
  <c r="T115"/>
  <c r="S115"/>
  <c r="AG114"/>
  <c r="W114"/>
  <c r="V114"/>
  <c r="U114"/>
  <c r="T114"/>
  <c r="S114"/>
  <c r="AG113"/>
  <c r="W113"/>
  <c r="V113"/>
  <c r="U113"/>
  <c r="T113"/>
  <c r="S113"/>
  <c r="AL112"/>
  <c r="AK112"/>
  <c r="AJ112"/>
  <c r="AI112"/>
  <c r="AH112"/>
  <c r="AG112"/>
  <c r="AQ112" s="1"/>
  <c r="W112"/>
  <c r="V112"/>
  <c r="U112"/>
  <c r="T112"/>
  <c r="S112"/>
  <c r="AG111"/>
  <c r="W111"/>
  <c r="V111"/>
  <c r="U111"/>
  <c r="T111"/>
  <c r="S111"/>
  <c r="AL110"/>
  <c r="AK110"/>
  <c r="AJ110"/>
  <c r="AI110"/>
  <c r="AH110"/>
  <c r="AG110"/>
  <c r="AQ110" s="1"/>
  <c r="W110"/>
  <c r="V110"/>
  <c r="U110"/>
  <c r="T110"/>
  <c r="S110"/>
  <c r="AG109"/>
  <c r="W109"/>
  <c r="V109"/>
  <c r="U109"/>
  <c r="T109"/>
  <c r="S109"/>
  <c r="AL108"/>
  <c r="AK108"/>
  <c r="AJ108"/>
  <c r="AI108"/>
  <c r="AH108"/>
  <c r="AG108"/>
  <c r="AQ108" s="1"/>
  <c r="W108"/>
  <c r="V108"/>
  <c r="U108"/>
  <c r="T108"/>
  <c r="S108"/>
  <c r="AL107"/>
  <c r="AK107"/>
  <c r="AJ107"/>
  <c r="AI107"/>
  <c r="AH107"/>
  <c r="AG107"/>
  <c r="AQ107" s="1"/>
  <c r="W107"/>
  <c r="V107"/>
  <c r="U107"/>
  <c r="T107"/>
  <c r="S107"/>
  <c r="AG106"/>
  <c r="W106"/>
  <c r="V106"/>
  <c r="U106"/>
  <c r="T106"/>
  <c r="S106"/>
  <c r="AL105"/>
  <c r="AK105"/>
  <c r="AJ105"/>
  <c r="AI105"/>
  <c r="AH105"/>
  <c r="AG105"/>
  <c r="AQ105" s="1"/>
  <c r="W105"/>
  <c r="V105"/>
  <c r="U105"/>
  <c r="T105"/>
  <c r="S105"/>
  <c r="AG104"/>
  <c r="W104"/>
  <c r="V104"/>
  <c r="U104"/>
  <c r="T104"/>
  <c r="S104"/>
  <c r="AG103"/>
  <c r="W103"/>
  <c r="V103"/>
  <c r="U103"/>
  <c r="T103"/>
  <c r="S103"/>
  <c r="AL102"/>
  <c r="AK102"/>
  <c r="AJ102"/>
  <c r="AI102"/>
  <c r="AH102"/>
  <c r="AG102"/>
  <c r="AQ102" s="1"/>
  <c r="W102"/>
  <c r="V102"/>
  <c r="U102"/>
  <c r="T102"/>
  <c r="S102"/>
  <c r="AL101"/>
  <c r="AK101"/>
  <c r="AJ101"/>
  <c r="AI101"/>
  <c r="AH101"/>
  <c r="AG101"/>
  <c r="AQ101" s="1"/>
  <c r="W101"/>
  <c r="V101"/>
  <c r="U101"/>
  <c r="T101"/>
  <c r="S101"/>
  <c r="AL100"/>
  <c r="AK100"/>
  <c r="AJ100"/>
  <c r="AI100"/>
  <c r="AH100"/>
  <c r="AG100"/>
  <c r="AQ100" s="1"/>
  <c r="W100"/>
  <c r="V100"/>
  <c r="U100"/>
  <c r="T100"/>
  <c r="S100"/>
  <c r="AG99"/>
  <c r="W99"/>
  <c r="V99"/>
  <c r="U99"/>
  <c r="T99"/>
  <c r="S99"/>
  <c r="AG98"/>
  <c r="W98"/>
  <c r="V98"/>
  <c r="U98"/>
  <c r="T98"/>
  <c r="S98"/>
  <c r="AG97"/>
  <c r="W97"/>
  <c r="V97"/>
  <c r="U97"/>
  <c r="T97"/>
  <c r="S97"/>
  <c r="AG96"/>
  <c r="W96"/>
  <c r="V96"/>
  <c r="U96"/>
  <c r="T96"/>
  <c r="S96"/>
  <c r="AG95"/>
  <c r="W95"/>
  <c r="V95"/>
  <c r="U95"/>
  <c r="T95"/>
  <c r="S95"/>
  <c r="AG94"/>
  <c r="W94"/>
  <c r="V94"/>
  <c r="U94"/>
  <c r="T94"/>
  <c r="S94"/>
  <c r="AG93"/>
  <c r="W93"/>
  <c r="V93"/>
  <c r="U93"/>
  <c r="T93"/>
  <c r="S93"/>
  <c r="AG92"/>
  <c r="W92"/>
  <c r="V92"/>
  <c r="U92"/>
  <c r="T92"/>
  <c r="S92"/>
  <c r="AG91"/>
  <c r="W91"/>
  <c r="V91"/>
  <c r="U91"/>
  <c r="T91"/>
  <c r="S91"/>
  <c r="AG90"/>
  <c r="W90"/>
  <c r="V90"/>
  <c r="U90"/>
  <c r="T90"/>
  <c r="S90"/>
  <c r="W89"/>
  <c r="V89"/>
  <c r="U89"/>
  <c r="T89"/>
  <c r="S89"/>
  <c r="W88"/>
  <c r="V88"/>
  <c r="U88"/>
  <c r="T88"/>
  <c r="S88"/>
  <c r="W87"/>
  <c r="V87"/>
  <c r="U87"/>
  <c r="T87"/>
  <c r="S87"/>
  <c r="W86"/>
  <c r="V86"/>
  <c r="U86"/>
  <c r="T86"/>
  <c r="S86"/>
  <c r="AO85"/>
  <c r="AT85" s="1"/>
  <c r="AS85" s="1"/>
  <c r="AX85" s="1"/>
  <c r="AW85" s="1"/>
  <c r="AM85"/>
  <c r="AN85"/>
  <c r="AK85"/>
  <c r="W85"/>
  <c r="V85"/>
  <c r="U85"/>
  <c r="T85"/>
  <c r="S85"/>
  <c r="AS84"/>
  <c r="W84"/>
  <c r="V84"/>
  <c r="U84"/>
  <c r="T84"/>
  <c r="S84"/>
  <c r="AS83"/>
  <c r="W83"/>
  <c r="V83"/>
  <c r="U83"/>
  <c r="T83"/>
  <c r="S83"/>
  <c r="AS82"/>
  <c r="W82"/>
  <c r="V82"/>
  <c r="U82"/>
  <c r="T82"/>
  <c r="S82"/>
  <c r="W81"/>
  <c r="V81"/>
  <c r="U81"/>
  <c r="T81"/>
  <c r="S81"/>
  <c r="AN80"/>
  <c r="AW80" s="1"/>
  <c r="AO80"/>
  <c r="AM80"/>
  <c r="AV80" s="1"/>
  <c r="AK80"/>
  <c r="AL80" s="1"/>
  <c r="AU80" s="1"/>
  <c r="W80"/>
  <c r="V80"/>
  <c r="U80"/>
  <c r="T80"/>
  <c r="S80"/>
  <c r="AS79"/>
  <c r="AO79"/>
  <c r="AX79" s="1"/>
  <c r="AM79"/>
  <c r="AV79" s="1"/>
  <c r="AN79"/>
  <c r="AK79"/>
  <c r="W79"/>
  <c r="V79"/>
  <c r="U79"/>
  <c r="T79"/>
  <c r="S79"/>
  <c r="AS78"/>
  <c r="AN78"/>
  <c r="AO78"/>
  <c r="AX78" s="1"/>
  <c r="AM78"/>
  <c r="AV78" s="1"/>
  <c r="AK78"/>
  <c r="AL78" s="1"/>
  <c r="AU78" s="1"/>
  <c r="W78"/>
  <c r="V78"/>
  <c r="U78"/>
  <c r="T78"/>
  <c r="S78"/>
  <c r="W77"/>
  <c r="V77"/>
  <c r="U77"/>
  <c r="T77"/>
  <c r="S77"/>
  <c r="W76"/>
  <c r="V76"/>
  <c r="U76"/>
  <c r="T76"/>
  <c r="S76"/>
  <c r="W75"/>
  <c r="V75"/>
  <c r="U75"/>
  <c r="T75"/>
  <c r="S75"/>
  <c r="AN74"/>
  <c r="AO74"/>
  <c r="AT74" s="1"/>
  <c r="AS74" s="1"/>
  <c r="AM74"/>
  <c r="AK74"/>
  <c r="AL74" s="1"/>
  <c r="W74"/>
  <c r="V74"/>
  <c r="U74"/>
  <c r="T74"/>
  <c r="S74"/>
  <c r="AS73"/>
  <c r="W73"/>
  <c r="V73"/>
  <c r="U73"/>
  <c r="T73"/>
  <c r="S73"/>
  <c r="W72"/>
  <c r="V72"/>
  <c r="U72"/>
  <c r="T72"/>
  <c r="S72"/>
  <c r="W71"/>
  <c r="V71"/>
  <c r="U71"/>
  <c r="T71"/>
  <c r="S71"/>
  <c r="R71"/>
  <c r="W70"/>
  <c r="V70"/>
  <c r="U70"/>
  <c r="T70"/>
  <c r="S70"/>
  <c r="R70"/>
  <c r="W69"/>
  <c r="V69"/>
  <c r="U69"/>
  <c r="T69"/>
  <c r="S69"/>
  <c r="R69"/>
  <c r="W68"/>
  <c r="V68"/>
  <c r="U68"/>
  <c r="T68"/>
  <c r="S68"/>
  <c r="R68"/>
  <c r="W67"/>
  <c r="V67"/>
  <c r="U67"/>
  <c r="T67"/>
  <c r="S67"/>
  <c r="R67"/>
  <c r="W66"/>
  <c r="V66"/>
  <c r="U66"/>
  <c r="T66"/>
  <c r="S66"/>
  <c r="R66"/>
  <c r="AS65"/>
  <c r="W65"/>
  <c r="V65"/>
  <c r="U65"/>
  <c r="T65"/>
  <c r="S65"/>
  <c r="W64"/>
  <c r="V64"/>
  <c r="U64"/>
  <c r="T64"/>
  <c r="S64"/>
  <c r="W63"/>
  <c r="V63"/>
  <c r="U63"/>
  <c r="T63"/>
  <c r="S63"/>
  <c r="W62"/>
  <c r="V62"/>
  <c r="U62"/>
  <c r="T62"/>
  <c r="S62"/>
  <c r="AM61"/>
  <c r="AO61"/>
  <c r="AT61" s="1"/>
  <c r="AS61" s="1"/>
  <c r="AX61" s="1"/>
  <c r="AW61" s="1"/>
  <c r="AN61"/>
  <c r="AK61"/>
  <c r="W61"/>
  <c r="V61"/>
  <c r="U61"/>
  <c r="T61"/>
  <c r="S61"/>
  <c r="AO60"/>
  <c r="AT60" s="1"/>
  <c r="AS60" s="1"/>
  <c r="AX60" s="1"/>
  <c r="AW60" s="1"/>
  <c r="AM60"/>
  <c r="AN60"/>
  <c r="AK60"/>
  <c r="W60"/>
  <c r="V60"/>
  <c r="U60"/>
  <c r="T60"/>
  <c r="S60"/>
  <c r="W59"/>
  <c r="V59"/>
  <c r="U59"/>
  <c r="T59"/>
  <c r="S59"/>
  <c r="AO58"/>
  <c r="AT58" s="1"/>
  <c r="AS58" s="1"/>
  <c r="AM58"/>
  <c r="AN58"/>
  <c r="AK58"/>
  <c r="W58"/>
  <c r="V58"/>
  <c r="U58"/>
  <c r="T58"/>
  <c r="S58"/>
  <c r="W57"/>
  <c r="V57"/>
  <c r="U57"/>
  <c r="T57"/>
  <c r="S57"/>
  <c r="AO56"/>
  <c r="AT56" s="1"/>
  <c r="AS56" s="1"/>
  <c r="AM56"/>
  <c r="AN56"/>
  <c r="AK56"/>
  <c r="W56"/>
  <c r="V56"/>
  <c r="U56"/>
  <c r="T56"/>
  <c r="S56"/>
  <c r="W55"/>
  <c r="V55"/>
  <c r="U55"/>
  <c r="T55"/>
  <c r="S55"/>
  <c r="W54"/>
  <c r="V54"/>
  <c r="U54"/>
  <c r="T54"/>
  <c r="S54"/>
  <c r="W53"/>
  <c r="V53"/>
  <c r="U53"/>
  <c r="T53"/>
  <c r="S53"/>
  <c r="W52"/>
  <c r="V52"/>
  <c r="U52"/>
  <c r="T52"/>
  <c r="S52"/>
  <c r="W51"/>
  <c r="V51"/>
  <c r="U51"/>
  <c r="T51"/>
  <c r="S51"/>
  <c r="AO50"/>
  <c r="AT50" s="1"/>
  <c r="AS50" s="1"/>
  <c r="AX50" s="1"/>
  <c r="AW50" s="1"/>
  <c r="AN50"/>
  <c r="AM50"/>
  <c r="AK50"/>
  <c r="W50"/>
  <c r="V50"/>
  <c r="U50"/>
  <c r="T50"/>
  <c r="S50"/>
  <c r="AO49"/>
  <c r="AT49" s="1"/>
  <c r="AS49" s="1"/>
  <c r="AX49" s="1"/>
  <c r="AW49" s="1"/>
  <c r="AN49"/>
  <c r="AM49"/>
  <c r="AK49"/>
  <c r="W49"/>
  <c r="V49"/>
  <c r="U49"/>
  <c r="T49"/>
  <c r="S49"/>
  <c r="W48"/>
  <c r="V48"/>
  <c r="U48"/>
  <c r="T48"/>
  <c r="S48"/>
  <c r="W47"/>
  <c r="V47"/>
  <c r="U47"/>
  <c r="T47"/>
  <c r="S47"/>
  <c r="W46"/>
  <c r="V46"/>
  <c r="U46"/>
  <c r="T46"/>
  <c r="S46"/>
  <c r="W45"/>
  <c r="V45"/>
  <c r="U45"/>
  <c r="T45"/>
  <c r="S45"/>
  <c r="W44"/>
  <c r="V44"/>
  <c r="U44"/>
  <c r="T44"/>
  <c r="S44"/>
  <c r="W43"/>
  <c r="V43"/>
  <c r="U43"/>
  <c r="T43"/>
  <c r="S43"/>
  <c r="W42"/>
  <c r="V42"/>
  <c r="U42"/>
  <c r="T42"/>
  <c r="S42"/>
  <c r="AN41"/>
  <c r="AO41"/>
  <c r="AT41" s="1"/>
  <c r="AS41" s="1"/>
  <c r="AM41"/>
  <c r="AK41"/>
  <c r="W41"/>
  <c r="V41"/>
  <c r="U41"/>
  <c r="T41"/>
  <c r="S41"/>
  <c r="W40"/>
  <c r="V40"/>
  <c r="U40"/>
  <c r="T40"/>
  <c r="S40"/>
  <c r="AN39"/>
  <c r="AO39"/>
  <c r="AT39" s="1"/>
  <c r="AS39" s="1"/>
  <c r="AM39"/>
  <c r="AK39"/>
  <c r="AL39" s="1"/>
  <c r="W39"/>
  <c r="V39"/>
  <c r="U39"/>
  <c r="T39"/>
  <c r="S39"/>
  <c r="W38"/>
  <c r="V38"/>
  <c r="U38"/>
  <c r="T38"/>
  <c r="S38"/>
  <c r="W37"/>
  <c r="V37"/>
  <c r="U37"/>
  <c r="T37"/>
  <c r="S37"/>
  <c r="AN36"/>
  <c r="AO36"/>
  <c r="AT36" s="1"/>
  <c r="AS36" s="1"/>
  <c r="AM36"/>
  <c r="AK36"/>
  <c r="AL36" s="1"/>
  <c r="W36"/>
  <c r="V36"/>
  <c r="U36"/>
  <c r="T36"/>
  <c r="S36"/>
  <c r="W35"/>
  <c r="V35"/>
  <c r="U35"/>
  <c r="T35"/>
  <c r="S35"/>
  <c r="W34"/>
  <c r="V34"/>
  <c r="U34"/>
  <c r="T34"/>
  <c r="S34"/>
  <c r="W33"/>
  <c r="V33"/>
  <c r="U33"/>
  <c r="T33"/>
  <c r="S33"/>
  <c r="W32"/>
  <c r="V32"/>
  <c r="U32"/>
  <c r="T32"/>
  <c r="S32"/>
  <c r="W31"/>
  <c r="V31"/>
  <c r="U31"/>
  <c r="T31"/>
  <c r="S31"/>
  <c r="W30"/>
  <c r="V30"/>
  <c r="U30"/>
  <c r="T30"/>
  <c r="S30"/>
  <c r="W29"/>
  <c r="V29"/>
  <c r="U29"/>
  <c r="T29"/>
  <c r="S29"/>
  <c r="W28"/>
  <c r="V28"/>
  <c r="U28"/>
  <c r="T28"/>
  <c r="S28"/>
  <c r="W27"/>
  <c r="V27"/>
  <c r="U27"/>
  <c r="T27"/>
  <c r="S27"/>
  <c r="W26"/>
  <c r="V26"/>
  <c r="U26"/>
  <c r="T26"/>
  <c r="S26"/>
  <c r="AN25"/>
  <c r="AO25"/>
  <c r="AT25" s="1"/>
  <c r="AS25" s="1"/>
  <c r="AM25"/>
  <c r="AK25"/>
  <c r="AL25" s="1"/>
  <c r="W25"/>
  <c r="V25"/>
  <c r="U25"/>
  <c r="T25"/>
  <c r="S25"/>
  <c r="W24"/>
  <c r="V24"/>
  <c r="U24"/>
  <c r="T24"/>
  <c r="S24"/>
  <c r="AN23"/>
  <c r="AO23"/>
  <c r="AT23" s="1"/>
  <c r="AS23" s="1"/>
  <c r="AM23"/>
  <c r="AK23"/>
  <c r="AL23" s="1"/>
  <c r="W23"/>
  <c r="V23"/>
  <c r="U23"/>
  <c r="T23"/>
  <c r="S23"/>
  <c r="AN22"/>
  <c r="AO22"/>
  <c r="AT22" s="1"/>
  <c r="AS22" s="1"/>
  <c r="AM22"/>
  <c r="AK22"/>
  <c r="AL22" s="1"/>
  <c r="W22"/>
  <c r="V22"/>
  <c r="U22"/>
  <c r="T22"/>
  <c r="S22"/>
  <c r="W21"/>
  <c r="V21"/>
  <c r="U21"/>
  <c r="T21"/>
  <c r="S21"/>
  <c r="AN20"/>
  <c r="AO20"/>
  <c r="AT20" s="1"/>
  <c r="AS20" s="1"/>
  <c r="AM20"/>
  <c r="AK20"/>
  <c r="AL20" s="1"/>
  <c r="W20"/>
  <c r="V20"/>
  <c r="U20"/>
  <c r="T20"/>
  <c r="S20"/>
  <c r="AN19"/>
  <c r="AO19"/>
  <c r="AT19" s="1"/>
  <c r="AS19" s="1"/>
  <c r="AM19"/>
  <c r="AK19"/>
  <c r="AL19" s="1"/>
  <c r="W19"/>
  <c r="V19"/>
  <c r="U19"/>
  <c r="T19"/>
  <c r="S19"/>
  <c r="W18"/>
  <c r="V18"/>
  <c r="U18"/>
  <c r="T18"/>
  <c r="S18"/>
  <c r="W17"/>
  <c r="V17"/>
  <c r="U17"/>
  <c r="T17"/>
  <c r="S17"/>
  <c r="W16"/>
  <c r="V16"/>
  <c r="U16"/>
  <c r="T16"/>
  <c r="S16"/>
  <c r="W15"/>
  <c r="V15"/>
  <c r="U15"/>
  <c r="T15"/>
  <c r="S15"/>
  <c r="W14"/>
  <c r="V14"/>
  <c r="U14"/>
  <c r="T14"/>
  <c r="S14"/>
  <c r="W13"/>
  <c r="V13"/>
  <c r="U13"/>
  <c r="T13"/>
  <c r="S13"/>
  <c r="AN12"/>
  <c r="AO12"/>
  <c r="AT12" s="1"/>
  <c r="AS12" s="1"/>
  <c r="AM12"/>
  <c r="AK12"/>
  <c r="AL12" s="1"/>
  <c r="W12"/>
  <c r="V12"/>
  <c r="U12"/>
  <c r="T12"/>
  <c r="S12"/>
  <c r="W11"/>
  <c r="V11"/>
  <c r="U11"/>
  <c r="T11"/>
  <c r="S11"/>
  <c r="AN10"/>
  <c r="AO10"/>
  <c r="AT10" s="1"/>
  <c r="AS10" s="1"/>
  <c r="AM10"/>
  <c r="AK10"/>
  <c r="AL10" s="1"/>
  <c r="W10"/>
  <c r="V10"/>
  <c r="U10"/>
  <c r="T10"/>
  <c r="S10"/>
  <c r="AN9"/>
  <c r="AO9"/>
  <c r="AT9" s="1"/>
  <c r="AS9" s="1"/>
  <c r="AM9"/>
  <c r="W9"/>
  <c r="V9"/>
  <c r="U9"/>
  <c r="T9"/>
  <c r="S9"/>
  <c r="W8"/>
  <c r="V8"/>
  <c r="U8"/>
  <c r="T8"/>
  <c r="S8"/>
  <c r="AO7"/>
  <c r="AT7" s="1"/>
  <c r="AS7" s="1"/>
  <c r="AN7"/>
  <c r="AM7"/>
  <c r="AK7"/>
  <c r="AE7"/>
  <c r="AE8" s="1"/>
  <c r="AE9" s="1"/>
  <c r="AE10" s="1"/>
  <c r="AE11" s="1"/>
  <c r="AE12" s="1"/>
  <c r="AE13" s="1"/>
  <c r="AE14" s="1"/>
  <c r="AE15" s="1"/>
  <c r="AE16" s="1"/>
  <c r="AE17" s="1"/>
  <c r="AE18" s="1"/>
  <c r="AE19" s="1"/>
  <c r="AE20" s="1"/>
  <c r="AE21" s="1"/>
  <c r="AE22" s="1"/>
  <c r="AE23" s="1"/>
  <c r="AE24" s="1"/>
  <c r="AE25" s="1"/>
  <c r="AE26" s="1"/>
  <c r="AE27" s="1"/>
  <c r="AE28" s="1"/>
  <c r="AE29" s="1"/>
  <c r="AE30" s="1"/>
  <c r="AE31" s="1"/>
  <c r="AE32" s="1"/>
  <c r="AE33" s="1"/>
  <c r="AE34" s="1"/>
  <c r="AE35" s="1"/>
  <c r="AE36" s="1"/>
  <c r="AE37" s="1"/>
  <c r="AE38" s="1"/>
  <c r="AE39" s="1"/>
  <c r="AE40" s="1"/>
  <c r="AE41" s="1"/>
  <c r="AE42" s="1"/>
  <c r="AE43" s="1"/>
  <c r="AE44" s="1"/>
  <c r="AE45" s="1"/>
  <c r="AE46" s="1"/>
  <c r="AE47" s="1"/>
  <c r="AE48" s="1"/>
  <c r="AE49" s="1"/>
  <c r="AE50" s="1"/>
  <c r="AE51" s="1"/>
  <c r="AE52" s="1"/>
  <c r="AE53" s="1"/>
  <c r="AE54" s="1"/>
  <c r="AE55" s="1"/>
  <c r="AE56" s="1"/>
  <c r="AE57" s="1"/>
  <c r="AE58" s="1"/>
  <c r="AE59" s="1"/>
  <c r="AE60" s="1"/>
  <c r="AE61" s="1"/>
  <c r="AE62" s="1"/>
  <c r="AE63" s="1"/>
  <c r="AE64" s="1"/>
  <c r="AE65" s="1"/>
  <c r="AE66" s="1"/>
  <c r="AE67" s="1"/>
  <c r="AE68" s="1"/>
  <c r="AE69" s="1"/>
  <c r="AE70" s="1"/>
  <c r="AE71" s="1"/>
  <c r="AE72" s="1"/>
  <c r="AE73" s="1"/>
  <c r="AE74" s="1"/>
  <c r="AE75" s="1"/>
  <c r="AE76" s="1"/>
  <c r="AE77" s="1"/>
  <c r="AE78" s="1"/>
  <c r="AE79" s="1"/>
  <c r="AE80" s="1"/>
  <c r="AE81" s="1"/>
  <c r="AE82" s="1"/>
  <c r="AE83" s="1"/>
  <c r="AE84" s="1"/>
  <c r="W7"/>
  <c r="V7"/>
  <c r="U7"/>
  <c r="T7"/>
  <c r="S7"/>
  <c r="AO6"/>
  <c r="AT6" s="1"/>
  <c r="AS6" s="1"/>
  <c r="AM6"/>
  <c r="AN6"/>
  <c r="AK6"/>
  <c r="W6"/>
  <c r="V6"/>
  <c r="U6"/>
  <c r="T6"/>
  <c r="S6"/>
  <c r="AW78" l="1"/>
  <c r="R49"/>
  <c r="R50"/>
  <c r="R51"/>
  <c r="R52"/>
  <c r="R53"/>
  <c r="R54"/>
  <c r="R55"/>
  <c r="R56"/>
  <c r="R81"/>
  <c r="R82"/>
  <c r="R84"/>
  <c r="R104"/>
  <c r="R108"/>
  <c r="R112"/>
  <c r="R118"/>
  <c r="R128"/>
  <c r="R160"/>
  <c r="R162"/>
  <c r="R163"/>
  <c r="R164"/>
  <c r="R165"/>
  <c r="R7"/>
  <c r="R11"/>
  <c r="R12"/>
  <c r="R13"/>
  <c r="R14"/>
  <c r="R15"/>
  <c r="R25"/>
  <c r="R26"/>
  <c r="R27"/>
  <c r="R28"/>
  <c r="R29"/>
  <c r="R30"/>
  <c r="R31"/>
  <c r="R32"/>
  <c r="R33"/>
  <c r="R34"/>
  <c r="R35"/>
  <c r="R36"/>
  <c r="R37"/>
  <c r="R38"/>
  <c r="R39"/>
  <c r="R40"/>
  <c r="R41"/>
  <c r="R42"/>
  <c r="R43"/>
  <c r="R44"/>
  <c r="R45"/>
  <c r="R46"/>
  <c r="R47"/>
  <c r="R48"/>
  <c r="R6"/>
  <c r="R16"/>
  <c r="R17"/>
  <c r="R18"/>
  <c r="R19"/>
  <c r="R20"/>
  <c r="R21"/>
  <c r="R22"/>
  <c r="R23"/>
  <c r="R24"/>
  <c r="R57"/>
  <c r="R58"/>
  <c r="R59"/>
  <c r="R60"/>
  <c r="R61"/>
  <c r="R83"/>
  <c r="R85"/>
  <c r="AN100"/>
  <c r="R101"/>
  <c r="AN102"/>
  <c r="R103"/>
  <c r="R105"/>
  <c r="AP108"/>
  <c r="AN110"/>
  <c r="R111"/>
  <c r="AP112"/>
  <c r="R117"/>
  <c r="R119"/>
  <c r="R120"/>
  <c r="R122"/>
  <c r="R123"/>
  <c r="R124"/>
  <c r="R126"/>
  <c r="R127"/>
  <c r="R129"/>
  <c r="R132"/>
  <c r="R133"/>
  <c r="R134"/>
  <c r="R135"/>
  <c r="R143"/>
  <c r="R145"/>
  <c r="R146"/>
  <c r="R148"/>
  <c r="R155"/>
  <c r="R158"/>
  <c r="R161"/>
  <c r="R72"/>
  <c r="R73"/>
  <c r="R74"/>
  <c r="R75"/>
  <c r="R76"/>
  <c r="R77"/>
  <c r="R78"/>
  <c r="R79"/>
  <c r="AW79"/>
  <c r="R80"/>
  <c r="R86"/>
  <c r="R87"/>
  <c r="R88"/>
  <c r="R89"/>
  <c r="R90"/>
  <c r="R91"/>
  <c r="R92"/>
  <c r="R93"/>
  <c r="R94"/>
  <c r="R95"/>
  <c r="R96"/>
  <c r="R97"/>
  <c r="R98"/>
  <c r="R99"/>
  <c r="R100"/>
  <c r="AP100"/>
  <c r="R102"/>
  <c r="AP102"/>
  <c r="R106"/>
  <c r="R107"/>
  <c r="AN108"/>
  <c r="R109"/>
  <c r="R110"/>
  <c r="AP110"/>
  <c r="AN112"/>
  <c r="R113"/>
  <c r="R114"/>
  <c r="R115"/>
  <c r="R116"/>
  <c r="R121"/>
  <c r="R125"/>
  <c r="R130"/>
  <c r="R136"/>
  <c r="R137"/>
  <c r="R138"/>
  <c r="R139"/>
  <c r="R140"/>
  <c r="R141"/>
  <c r="R142"/>
  <c r="R144"/>
  <c r="R147"/>
  <c r="R149"/>
  <c r="R150"/>
  <c r="R151"/>
  <c r="R152"/>
  <c r="R153"/>
  <c r="R154"/>
  <c r="R156"/>
  <c r="R157"/>
  <c r="R159"/>
  <c r="R179"/>
  <c r="R180"/>
  <c r="R181"/>
  <c r="R182"/>
  <c r="R183"/>
  <c r="R184"/>
  <c r="R185"/>
  <c r="R186"/>
  <c r="R187"/>
  <c r="R188"/>
  <c r="R189"/>
  <c r="R190"/>
  <c r="R191"/>
  <c r="R192"/>
  <c r="R193"/>
  <c r="R194"/>
  <c r="R195"/>
  <c r="R196"/>
  <c r="R197"/>
  <c r="R198"/>
  <c r="R199"/>
  <c r="R200"/>
  <c r="R201"/>
  <c r="R202"/>
  <c r="R203"/>
  <c r="R204"/>
  <c r="R205"/>
  <c r="R206"/>
  <c r="R207"/>
  <c r="R208"/>
  <c r="R209"/>
  <c r="R210"/>
  <c r="R211"/>
  <c r="R212"/>
  <c r="R213"/>
  <c r="R214"/>
  <c r="R215"/>
  <c r="R216"/>
  <c r="R217"/>
  <c r="R218"/>
  <c r="R219"/>
  <c r="R220"/>
  <c r="R221"/>
  <c r="R222"/>
  <c r="R223"/>
  <c r="R224"/>
  <c r="R225"/>
  <c r="R226"/>
  <c r="R227"/>
  <c r="R228"/>
  <c r="R229"/>
  <c r="AB7"/>
  <c r="Z7"/>
  <c r="X7"/>
  <c r="AA7"/>
  <c r="Y7"/>
  <c r="AA6"/>
  <c r="Y6"/>
  <c r="AB6"/>
  <c r="Z6"/>
  <c r="X6"/>
  <c r="AB11"/>
  <c r="Z11"/>
  <c r="X11"/>
  <c r="AA11"/>
  <c r="Y11"/>
  <c r="AB12"/>
  <c r="Z12"/>
  <c r="X12"/>
  <c r="AA12"/>
  <c r="Y12"/>
  <c r="AB15"/>
  <c r="Z15"/>
  <c r="X15"/>
  <c r="AA15"/>
  <c r="Y15"/>
  <c r="AB16"/>
  <c r="AL130" s="1"/>
  <c r="Z16"/>
  <c r="AJ130" s="1"/>
  <c r="X16"/>
  <c r="AH130" s="1"/>
  <c r="AA16"/>
  <c r="AK130" s="1"/>
  <c r="Y16"/>
  <c r="AI130" s="1"/>
  <c r="AB18"/>
  <c r="Z18"/>
  <c r="X18"/>
  <c r="AA18"/>
  <c r="Y18"/>
  <c r="AB20"/>
  <c r="Z20"/>
  <c r="X20"/>
  <c r="AA20"/>
  <c r="Y20"/>
  <c r="AB23"/>
  <c r="Z23"/>
  <c r="X23"/>
  <c r="AA23"/>
  <c r="Y23"/>
  <c r="AB26"/>
  <c r="Z26"/>
  <c r="X26"/>
  <c r="AA26"/>
  <c r="Y26"/>
  <c r="AB27"/>
  <c r="Z27"/>
  <c r="X27"/>
  <c r="AA27"/>
  <c r="Y27"/>
  <c r="AB28"/>
  <c r="Z28"/>
  <c r="X28"/>
  <c r="AA28"/>
  <c r="Y28"/>
  <c r="AB29"/>
  <c r="Z29"/>
  <c r="X29"/>
  <c r="AA29"/>
  <c r="Y29"/>
  <c r="AB30"/>
  <c r="Z30"/>
  <c r="X30"/>
  <c r="AA30"/>
  <c r="Y30"/>
  <c r="AB31"/>
  <c r="Z31"/>
  <c r="X31"/>
  <c r="AA31"/>
  <c r="Y31"/>
  <c r="AB32"/>
  <c r="Z32"/>
  <c r="X32"/>
  <c r="AA32"/>
  <c r="Y32"/>
  <c r="AB33"/>
  <c r="Z33"/>
  <c r="X33"/>
  <c r="AA33"/>
  <c r="Y33"/>
  <c r="AB34"/>
  <c r="Z34"/>
  <c r="X34"/>
  <c r="AA34"/>
  <c r="Y34"/>
  <c r="AB36"/>
  <c r="Z36"/>
  <c r="X36"/>
  <c r="AA36"/>
  <c r="Y36"/>
  <c r="AB38"/>
  <c r="Z38"/>
  <c r="X38"/>
  <c r="AA38"/>
  <c r="Y38"/>
  <c r="AB40"/>
  <c r="Z40"/>
  <c r="X40"/>
  <c r="AA40"/>
  <c r="Y40"/>
  <c r="AB42"/>
  <c r="Z42"/>
  <c r="X42"/>
  <c r="AA42"/>
  <c r="Y42"/>
  <c r="AB43"/>
  <c r="Z43"/>
  <c r="X43"/>
  <c r="AA43"/>
  <c r="Y43"/>
  <c r="AB44"/>
  <c r="Z44"/>
  <c r="X44"/>
  <c r="AA44"/>
  <c r="Y44"/>
  <c r="AB45"/>
  <c r="Z45"/>
  <c r="X45"/>
  <c r="AA45"/>
  <c r="Y45"/>
  <c r="AB46"/>
  <c r="Z46"/>
  <c r="X46"/>
  <c r="AA46"/>
  <c r="Y46"/>
  <c r="AB47"/>
  <c r="Z47"/>
  <c r="X47"/>
  <c r="AA47"/>
  <c r="Y47"/>
  <c r="AB48"/>
  <c r="Z48"/>
  <c r="X48"/>
  <c r="AA48"/>
  <c r="Y48"/>
  <c r="AB50"/>
  <c r="Z50"/>
  <c r="X50"/>
  <c r="AA50"/>
  <c r="Y50"/>
  <c r="AB52"/>
  <c r="Z52"/>
  <c r="X52"/>
  <c r="AA52"/>
  <c r="Y52"/>
  <c r="AB53"/>
  <c r="Z53"/>
  <c r="X53"/>
  <c r="AA53"/>
  <c r="Y53"/>
  <c r="AB54"/>
  <c r="Z54"/>
  <c r="X54"/>
  <c r="AA54"/>
  <c r="Y54"/>
  <c r="AB55"/>
  <c r="Z55"/>
  <c r="X55"/>
  <c r="AA55"/>
  <c r="Y55"/>
  <c r="AB56"/>
  <c r="Z56"/>
  <c r="X56"/>
  <c r="AA56"/>
  <c r="Y56"/>
  <c r="AB57"/>
  <c r="Z57"/>
  <c r="X57"/>
  <c r="AA57"/>
  <c r="Y57"/>
  <c r="AB58"/>
  <c r="Z58"/>
  <c r="X58"/>
  <c r="AA58"/>
  <c r="Y58"/>
  <c r="AB59"/>
  <c r="Z59"/>
  <c r="X59"/>
  <c r="AA59"/>
  <c r="Y59"/>
  <c r="AB60"/>
  <c r="Z60"/>
  <c r="X60"/>
  <c r="AA60"/>
  <c r="Y60"/>
  <c r="AB61"/>
  <c r="Z61"/>
  <c r="X61"/>
  <c r="AA61"/>
  <c r="Y61"/>
  <c r="AL6"/>
  <c r="AL7"/>
  <c r="AK9"/>
  <c r="AL9" s="1"/>
  <c r="AB13"/>
  <c r="Z13"/>
  <c r="X13"/>
  <c r="AA13"/>
  <c r="Y13"/>
  <c r="AB14"/>
  <c r="Z14"/>
  <c r="X14"/>
  <c r="AA14"/>
  <c r="Y14"/>
  <c r="AB17"/>
  <c r="Z17"/>
  <c r="X17"/>
  <c r="AA17"/>
  <c r="Y17"/>
  <c r="AB19"/>
  <c r="Z19"/>
  <c r="X19"/>
  <c r="AA19"/>
  <c r="Y19"/>
  <c r="AB21"/>
  <c r="Z21"/>
  <c r="X21"/>
  <c r="AA21"/>
  <c r="Y21"/>
  <c r="AB22"/>
  <c r="Z22"/>
  <c r="X22"/>
  <c r="AA22"/>
  <c r="Y22"/>
  <c r="AB24"/>
  <c r="Z24"/>
  <c r="X24"/>
  <c r="AA24"/>
  <c r="Y24"/>
  <c r="AB25"/>
  <c r="Z25"/>
  <c r="X25"/>
  <c r="AA25"/>
  <c r="Y25"/>
  <c r="AB35"/>
  <c r="Z35"/>
  <c r="X35"/>
  <c r="AA35"/>
  <c r="Y35"/>
  <c r="AB37"/>
  <c r="Z37"/>
  <c r="X37"/>
  <c r="AA37"/>
  <c r="Y37"/>
  <c r="AB39"/>
  <c r="Z39"/>
  <c r="X39"/>
  <c r="AA39"/>
  <c r="Y39"/>
  <c r="AB41"/>
  <c r="Z41"/>
  <c r="X41"/>
  <c r="AA41"/>
  <c r="Y41"/>
  <c r="AB49"/>
  <c r="Z49"/>
  <c r="AJ115" s="1"/>
  <c r="X49"/>
  <c r="AA49"/>
  <c r="AK115" s="1"/>
  <c r="Y49"/>
  <c r="AB51"/>
  <c r="Z51"/>
  <c r="X51"/>
  <c r="AA51"/>
  <c r="Y51"/>
  <c r="R8"/>
  <c r="R9"/>
  <c r="R10"/>
  <c r="AB66"/>
  <c r="Z66"/>
  <c r="X66"/>
  <c r="AA66"/>
  <c r="Y66"/>
  <c r="AB67"/>
  <c r="Z67"/>
  <c r="X67"/>
  <c r="AA67"/>
  <c r="Y67"/>
  <c r="AB68"/>
  <c r="Z68"/>
  <c r="X68"/>
  <c r="AA68"/>
  <c r="Y68"/>
  <c r="AB69"/>
  <c r="Z69"/>
  <c r="X69"/>
  <c r="AA69"/>
  <c r="Y69"/>
  <c r="AB70"/>
  <c r="Z70"/>
  <c r="X70"/>
  <c r="AA70"/>
  <c r="Y70"/>
  <c r="AB71"/>
  <c r="Z71"/>
  <c r="X71"/>
  <c r="AA71"/>
  <c r="Y71"/>
  <c r="AB72"/>
  <c r="Z72"/>
  <c r="X72"/>
  <c r="AA72"/>
  <c r="Y72"/>
  <c r="AB73"/>
  <c r="Z73"/>
  <c r="X73"/>
  <c r="AA73"/>
  <c r="Y73"/>
  <c r="AA74"/>
  <c r="Y74"/>
  <c r="AB74"/>
  <c r="Z74"/>
  <c r="X74"/>
  <c r="AT80"/>
  <c r="AX80" s="1"/>
  <c r="AB81"/>
  <c r="Z81"/>
  <c r="X81"/>
  <c r="AA81"/>
  <c r="Y81"/>
  <c r="AB82"/>
  <c r="Z82"/>
  <c r="X82"/>
  <c r="AA82"/>
  <c r="Y82"/>
  <c r="AA83"/>
  <c r="Y83"/>
  <c r="AB83"/>
  <c r="Z83"/>
  <c r="X83"/>
  <c r="AB84"/>
  <c r="Z84"/>
  <c r="X84"/>
  <c r="AA84"/>
  <c r="Y84"/>
  <c r="AA85"/>
  <c r="Y85"/>
  <c r="AB85"/>
  <c r="Z85"/>
  <c r="X85"/>
  <c r="AA101"/>
  <c r="Y101"/>
  <c r="AB101"/>
  <c r="Z101"/>
  <c r="X101"/>
  <c r="AA103"/>
  <c r="Y103"/>
  <c r="AB103"/>
  <c r="Z103"/>
  <c r="X103"/>
  <c r="AB104"/>
  <c r="Z104"/>
  <c r="X104"/>
  <c r="AA104"/>
  <c r="Y104"/>
  <c r="AA105"/>
  <c r="Y105"/>
  <c r="AB105"/>
  <c r="Z105"/>
  <c r="X105"/>
  <c r="AB108"/>
  <c r="Z108"/>
  <c r="X108"/>
  <c r="AA108"/>
  <c r="Y108"/>
  <c r="AA111"/>
  <c r="Y111"/>
  <c r="AB111"/>
  <c r="Z111"/>
  <c r="X111"/>
  <c r="AB112"/>
  <c r="Z112"/>
  <c r="X112"/>
  <c r="AA112"/>
  <c r="Y112"/>
  <c r="AA117"/>
  <c r="Y117"/>
  <c r="AB117"/>
  <c r="Z117"/>
  <c r="X117"/>
  <c r="AB118"/>
  <c r="Z118"/>
  <c r="X118"/>
  <c r="AA118"/>
  <c r="Y118"/>
  <c r="AA119"/>
  <c r="Y119"/>
  <c r="AB119"/>
  <c r="Z119"/>
  <c r="X119"/>
  <c r="AB120"/>
  <c r="Z120"/>
  <c r="X120"/>
  <c r="AA120"/>
  <c r="Y120"/>
  <c r="AB122"/>
  <c r="Z122"/>
  <c r="X122"/>
  <c r="AA122"/>
  <c r="Y122"/>
  <c r="AA123"/>
  <c r="Y123"/>
  <c r="AB123"/>
  <c r="Z123"/>
  <c r="X123"/>
  <c r="AB124"/>
  <c r="Z124"/>
  <c r="X124"/>
  <c r="AA124"/>
  <c r="Y124"/>
  <c r="AB126"/>
  <c r="Z126"/>
  <c r="X126"/>
  <c r="AA126"/>
  <c r="Y126"/>
  <c r="AA127"/>
  <c r="Y127"/>
  <c r="AB127"/>
  <c r="Z127"/>
  <c r="X127"/>
  <c r="AB128"/>
  <c r="Z128"/>
  <c r="X128"/>
  <c r="AA128"/>
  <c r="Y128"/>
  <c r="AA129"/>
  <c r="Y129"/>
  <c r="AB129"/>
  <c r="Z129"/>
  <c r="X129"/>
  <c r="AL41"/>
  <c r="AL49"/>
  <c r="AL50"/>
  <c r="AL56"/>
  <c r="AL58"/>
  <c r="AL60"/>
  <c r="AL61"/>
  <c r="AA75"/>
  <c r="Y75"/>
  <c r="AB75"/>
  <c r="Z75"/>
  <c r="X75"/>
  <c r="AA76"/>
  <c r="Y76"/>
  <c r="AB76"/>
  <c r="Z76"/>
  <c r="X76"/>
  <c r="AA77"/>
  <c r="Y77"/>
  <c r="AB77"/>
  <c r="Z77"/>
  <c r="X77"/>
  <c r="AA78"/>
  <c r="Y78"/>
  <c r="AB78"/>
  <c r="Z78"/>
  <c r="X78"/>
  <c r="AB79"/>
  <c r="Z79"/>
  <c r="X79"/>
  <c r="AA79"/>
  <c r="Y79"/>
  <c r="AA80"/>
  <c r="Y80"/>
  <c r="AB80"/>
  <c r="Z80"/>
  <c r="X80"/>
  <c r="AB86"/>
  <c r="Z86"/>
  <c r="X86"/>
  <c r="AA86"/>
  <c r="Y86"/>
  <c r="AB87"/>
  <c r="Z87"/>
  <c r="X87"/>
  <c r="AA87"/>
  <c r="Y87"/>
  <c r="AB88"/>
  <c r="Z88"/>
  <c r="X88"/>
  <c r="AA88"/>
  <c r="Y88"/>
  <c r="AB89"/>
  <c r="Z89"/>
  <c r="X89"/>
  <c r="AA89"/>
  <c r="Y89"/>
  <c r="AB90"/>
  <c r="Z90"/>
  <c r="X90"/>
  <c r="AA90"/>
  <c r="Y90"/>
  <c r="AA91"/>
  <c r="Y91"/>
  <c r="AB91"/>
  <c r="Z91"/>
  <c r="X91"/>
  <c r="AB92"/>
  <c r="Z92"/>
  <c r="X92"/>
  <c r="AA92"/>
  <c r="Y92"/>
  <c r="AA93"/>
  <c r="Y93"/>
  <c r="AB93"/>
  <c r="Z93"/>
  <c r="X93"/>
  <c r="AB94"/>
  <c r="Z94"/>
  <c r="X94"/>
  <c r="AA94"/>
  <c r="Y94"/>
  <c r="AA95"/>
  <c r="Y95"/>
  <c r="AB95"/>
  <c r="Z95"/>
  <c r="X95"/>
  <c r="AB96"/>
  <c r="Z96"/>
  <c r="X96"/>
  <c r="AA96"/>
  <c r="Y96"/>
  <c r="AA97"/>
  <c r="Y97"/>
  <c r="AB97"/>
  <c r="Z97"/>
  <c r="X97"/>
  <c r="AB98"/>
  <c r="Z98"/>
  <c r="X98"/>
  <c r="AA98"/>
  <c r="Y98"/>
  <c r="AA99"/>
  <c r="Y99"/>
  <c r="AB99"/>
  <c r="Z99"/>
  <c r="X99"/>
  <c r="AB100"/>
  <c r="Z100"/>
  <c r="X100"/>
  <c r="AA100"/>
  <c r="Y100"/>
  <c r="AB102"/>
  <c r="Z102"/>
  <c r="X102"/>
  <c r="AA102"/>
  <c r="Y102"/>
  <c r="AB106"/>
  <c r="Z106"/>
  <c r="X106"/>
  <c r="AA106"/>
  <c r="Y106"/>
  <c r="AA107"/>
  <c r="Y107"/>
  <c r="AB107"/>
  <c r="Z107"/>
  <c r="X107"/>
  <c r="AA109"/>
  <c r="Y109"/>
  <c r="AB109"/>
  <c r="Z109"/>
  <c r="X109"/>
  <c r="AB110"/>
  <c r="Z110"/>
  <c r="X110"/>
  <c r="AA110"/>
  <c r="Y110"/>
  <c r="AA113"/>
  <c r="Y113"/>
  <c r="AB113"/>
  <c r="Z113"/>
  <c r="X113"/>
  <c r="AB114"/>
  <c r="AL157" s="1"/>
  <c r="Z114"/>
  <c r="AJ157" s="1"/>
  <c r="X114"/>
  <c r="AH157" s="1"/>
  <c r="AA114"/>
  <c r="AK157" s="1"/>
  <c r="Y114"/>
  <c r="AI157" s="1"/>
  <c r="AA115"/>
  <c r="Y115"/>
  <c r="AB115"/>
  <c r="Z115"/>
  <c r="X115"/>
  <c r="AB116"/>
  <c r="Z116"/>
  <c r="X116"/>
  <c r="AA116"/>
  <c r="Y116"/>
  <c r="AA121"/>
  <c r="Y121"/>
  <c r="AB121"/>
  <c r="Z121"/>
  <c r="X121"/>
  <c r="AA125"/>
  <c r="Y125"/>
  <c r="AB125"/>
  <c r="Z125"/>
  <c r="X125"/>
  <c r="AB130"/>
  <c r="Z130"/>
  <c r="X130"/>
  <c r="AA130"/>
  <c r="Y130"/>
  <c r="R62"/>
  <c r="R63"/>
  <c r="R64"/>
  <c r="R65"/>
  <c r="AQ130"/>
  <c r="AO130"/>
  <c r="AA132"/>
  <c r="Y132"/>
  <c r="AB132"/>
  <c r="Z132"/>
  <c r="X132"/>
  <c r="AB133"/>
  <c r="Z133"/>
  <c r="X133"/>
  <c r="AA133"/>
  <c r="Y133"/>
  <c r="AA134"/>
  <c r="Y134"/>
  <c r="AB134"/>
  <c r="Z134"/>
  <c r="X134"/>
  <c r="AB135"/>
  <c r="Z135"/>
  <c r="X135"/>
  <c r="AA135"/>
  <c r="Y135"/>
  <c r="AB143"/>
  <c r="Z143"/>
  <c r="X143"/>
  <c r="AA143"/>
  <c r="Y143"/>
  <c r="AB145"/>
  <c r="Z145"/>
  <c r="X145"/>
  <c r="AA145"/>
  <c r="Y145"/>
  <c r="AA146"/>
  <c r="Y146"/>
  <c r="AB146"/>
  <c r="Z146"/>
  <c r="X146"/>
  <c r="AA148"/>
  <c r="Y148"/>
  <c r="AB148"/>
  <c r="Z148"/>
  <c r="X148"/>
  <c r="AB155"/>
  <c r="Z155"/>
  <c r="X155"/>
  <c r="AA155"/>
  <c r="Y155"/>
  <c r="AA158"/>
  <c r="Y158"/>
  <c r="AB158"/>
  <c r="Z158"/>
  <c r="X158"/>
  <c r="AA160"/>
  <c r="Y160"/>
  <c r="AB160"/>
  <c r="Z160"/>
  <c r="X160"/>
  <c r="AB161"/>
  <c r="Z161"/>
  <c r="X161"/>
  <c r="AA161"/>
  <c r="Y161"/>
  <c r="AA162"/>
  <c r="Y162"/>
  <c r="AB162"/>
  <c r="Z162"/>
  <c r="X162"/>
  <c r="AA163"/>
  <c r="Y163"/>
  <c r="AB163"/>
  <c r="Z163"/>
  <c r="X163"/>
  <c r="AA164"/>
  <c r="Y164"/>
  <c r="AB164"/>
  <c r="Z164"/>
  <c r="X164"/>
  <c r="AA165"/>
  <c r="Y165"/>
  <c r="AB165"/>
  <c r="Z165"/>
  <c r="X165"/>
  <c r="AL79"/>
  <c r="AU79" s="1"/>
  <c r="AL85"/>
  <c r="AM100"/>
  <c r="AO100"/>
  <c r="AN101"/>
  <c r="AP101"/>
  <c r="AM102"/>
  <c r="AO102"/>
  <c r="AN105"/>
  <c r="AP105"/>
  <c r="AN107"/>
  <c r="AP107"/>
  <c r="AM108"/>
  <c r="AO108"/>
  <c r="AM110"/>
  <c r="AO110"/>
  <c r="AM112"/>
  <c r="AO112"/>
  <c r="AP115"/>
  <c r="AM116"/>
  <c r="AO116"/>
  <c r="AQ116"/>
  <c r="AM120"/>
  <c r="AO120"/>
  <c r="AQ120"/>
  <c r="AN121"/>
  <c r="AP121"/>
  <c r="AM124"/>
  <c r="AO124"/>
  <c r="AQ124"/>
  <c r="AM126"/>
  <c r="AO126"/>
  <c r="AQ126"/>
  <c r="AN127"/>
  <c r="AP127"/>
  <c r="AM128"/>
  <c r="AO128"/>
  <c r="AQ128"/>
  <c r="AN129"/>
  <c r="AP129"/>
  <c r="AM130"/>
  <c r="AP130"/>
  <c r="AP131"/>
  <c r="AN131"/>
  <c r="AQ131"/>
  <c r="AO131"/>
  <c r="AM131"/>
  <c r="AA136"/>
  <c r="Y136"/>
  <c r="AB136"/>
  <c r="Z136"/>
  <c r="X136"/>
  <c r="AB137"/>
  <c r="Z137"/>
  <c r="X137"/>
  <c r="AA137"/>
  <c r="Y137"/>
  <c r="AA138"/>
  <c r="Y138"/>
  <c r="AB138"/>
  <c r="Z138"/>
  <c r="X138"/>
  <c r="AB139"/>
  <c r="Z139"/>
  <c r="X139"/>
  <c r="AA139"/>
  <c r="Y139"/>
  <c r="AA140"/>
  <c r="Y140"/>
  <c r="AB140"/>
  <c r="Z140"/>
  <c r="X140"/>
  <c r="AB141"/>
  <c r="Z141"/>
  <c r="X141"/>
  <c r="AA141"/>
  <c r="Y141"/>
  <c r="AA142"/>
  <c r="Y142"/>
  <c r="AB142"/>
  <c r="Z142"/>
  <c r="X142"/>
  <c r="AA144"/>
  <c r="Y144"/>
  <c r="AB144"/>
  <c r="Z144"/>
  <c r="X144"/>
  <c r="AB147"/>
  <c r="Z147"/>
  <c r="X147"/>
  <c r="AA147"/>
  <c r="Y147"/>
  <c r="AB149"/>
  <c r="Z149"/>
  <c r="X149"/>
  <c r="AA149"/>
  <c r="Y149"/>
  <c r="AA150"/>
  <c r="Y150"/>
  <c r="AB150"/>
  <c r="Z150"/>
  <c r="X150"/>
  <c r="AB151"/>
  <c r="Z151"/>
  <c r="X151"/>
  <c r="AA151"/>
  <c r="Y151"/>
  <c r="AA152"/>
  <c r="Y152"/>
  <c r="AB152"/>
  <c r="Z152"/>
  <c r="X152"/>
  <c r="AB153"/>
  <c r="Z153"/>
  <c r="X153"/>
  <c r="AA153"/>
  <c r="Y153"/>
  <c r="AA154"/>
  <c r="Y154"/>
  <c r="AB154"/>
  <c r="Z154"/>
  <c r="X154"/>
  <c r="AA156"/>
  <c r="Y156"/>
  <c r="AB156"/>
  <c r="Z156"/>
  <c r="X156"/>
  <c r="AB157"/>
  <c r="Z157"/>
  <c r="X157"/>
  <c r="AA157"/>
  <c r="Y157"/>
  <c r="AB159"/>
  <c r="Z159"/>
  <c r="X159"/>
  <c r="AA159"/>
  <c r="Y159"/>
  <c r="AM101"/>
  <c r="AO101"/>
  <c r="AM105"/>
  <c r="AO105"/>
  <c r="AM107"/>
  <c r="AO107"/>
  <c r="AO115"/>
  <c r="AN116"/>
  <c r="AN120"/>
  <c r="AM121"/>
  <c r="AO121"/>
  <c r="AN124"/>
  <c r="AN126"/>
  <c r="AM127"/>
  <c r="AO127"/>
  <c r="AN128"/>
  <c r="AM129"/>
  <c r="AO129"/>
  <c r="AN130"/>
  <c r="R131"/>
  <c r="AP157"/>
  <c r="AM135"/>
  <c r="AO135"/>
  <c r="AQ135"/>
  <c r="AN142"/>
  <c r="AP142"/>
  <c r="AM143"/>
  <c r="AO143"/>
  <c r="AQ143"/>
  <c r="AN144"/>
  <c r="AP144"/>
  <c r="AN146"/>
  <c r="AP146"/>
  <c r="AM147"/>
  <c r="AO147"/>
  <c r="AQ147"/>
  <c r="AN148"/>
  <c r="AP148"/>
  <c r="AN154"/>
  <c r="AP154"/>
  <c r="AM155"/>
  <c r="AO155"/>
  <c r="AQ155"/>
  <c r="AM157"/>
  <c r="AO157"/>
  <c r="AQ157"/>
  <c r="AM159"/>
  <c r="AO159"/>
  <c r="AQ159"/>
  <c r="AA179"/>
  <c r="Y179"/>
  <c r="AB179"/>
  <c r="Z179"/>
  <c r="X179"/>
  <c r="AA180"/>
  <c r="Y180"/>
  <c r="AB180"/>
  <c r="Z180"/>
  <c r="X180"/>
  <c r="AA181"/>
  <c r="Y181"/>
  <c r="AB181"/>
  <c r="Z181"/>
  <c r="X181"/>
  <c r="AA182"/>
  <c r="Y182"/>
  <c r="AB182"/>
  <c r="Z182"/>
  <c r="X182"/>
  <c r="AA183"/>
  <c r="Y183"/>
  <c r="AB183"/>
  <c r="Z183"/>
  <c r="X183"/>
  <c r="AA184"/>
  <c r="Y184"/>
  <c r="AB184"/>
  <c r="Z184"/>
  <c r="X184"/>
  <c r="AA185"/>
  <c r="Y185"/>
  <c r="AB185"/>
  <c r="Z185"/>
  <c r="X185"/>
  <c r="AA186"/>
  <c r="Y186"/>
  <c r="AB186"/>
  <c r="Z186"/>
  <c r="X186"/>
  <c r="AA187"/>
  <c r="Y187"/>
  <c r="AB187"/>
  <c r="Z187"/>
  <c r="X187"/>
  <c r="AA188"/>
  <c r="Y188"/>
  <c r="AB188"/>
  <c r="Z188"/>
  <c r="X188"/>
  <c r="AA189"/>
  <c r="Y189"/>
  <c r="AB189"/>
  <c r="Z189"/>
  <c r="X189"/>
  <c r="AA190"/>
  <c r="Y190"/>
  <c r="AB190"/>
  <c r="Z190"/>
  <c r="X190"/>
  <c r="AA191"/>
  <c r="Y191"/>
  <c r="AB191"/>
  <c r="Z191"/>
  <c r="X191"/>
  <c r="AA192"/>
  <c r="Y192"/>
  <c r="AB192"/>
  <c r="Z192"/>
  <c r="X192"/>
  <c r="AA193"/>
  <c r="Y193"/>
  <c r="AB193"/>
  <c r="Z193"/>
  <c r="X193"/>
  <c r="AA194"/>
  <c r="Y194"/>
  <c r="AB194"/>
  <c r="Z194"/>
  <c r="X194"/>
  <c r="AA195"/>
  <c r="Y195"/>
  <c r="AB195"/>
  <c r="Z195"/>
  <c r="X195"/>
  <c r="AA196"/>
  <c r="Y196"/>
  <c r="AB196"/>
  <c r="Z196"/>
  <c r="X196"/>
  <c r="AA197"/>
  <c r="Y197"/>
  <c r="AB197"/>
  <c r="Z197"/>
  <c r="X197"/>
  <c r="AA198"/>
  <c r="Y198"/>
  <c r="AB198"/>
  <c r="Z198"/>
  <c r="X198"/>
  <c r="AA199"/>
  <c r="Y199"/>
  <c r="AB199"/>
  <c r="Z199"/>
  <c r="X199"/>
  <c r="AA200"/>
  <c r="Y200"/>
  <c r="AB200"/>
  <c r="Z200"/>
  <c r="X200"/>
  <c r="AA201"/>
  <c r="Y201"/>
  <c r="AB201"/>
  <c r="Z201"/>
  <c r="X201"/>
  <c r="AA202"/>
  <c r="Y202"/>
  <c r="AB202"/>
  <c r="Z202"/>
  <c r="X202"/>
  <c r="AA203"/>
  <c r="Y203"/>
  <c r="AB203"/>
  <c r="Z203"/>
  <c r="X203"/>
  <c r="AA204"/>
  <c r="Y204"/>
  <c r="AB204"/>
  <c r="Z204"/>
  <c r="X204"/>
  <c r="AA205"/>
  <c r="Y205"/>
  <c r="AB205"/>
  <c r="Z205"/>
  <c r="X205"/>
  <c r="AA206"/>
  <c r="Y206"/>
  <c r="AB206"/>
  <c r="Z206"/>
  <c r="X206"/>
  <c r="AA207"/>
  <c r="Y207"/>
  <c r="AB207"/>
  <c r="Z207"/>
  <c r="X207"/>
  <c r="AA208"/>
  <c r="Y208"/>
  <c r="AB208"/>
  <c r="Z208"/>
  <c r="X208"/>
  <c r="AA209"/>
  <c r="Y209"/>
  <c r="AB209"/>
  <c r="Z209"/>
  <c r="X209"/>
  <c r="AA210"/>
  <c r="Y210"/>
  <c r="AB210"/>
  <c r="Z210"/>
  <c r="X210"/>
  <c r="AA211"/>
  <c r="Y211"/>
  <c r="AB211"/>
  <c r="Z211"/>
  <c r="X211"/>
  <c r="AA212"/>
  <c r="Y212"/>
  <c r="AB212"/>
  <c r="Z212"/>
  <c r="X212"/>
  <c r="AA213"/>
  <c r="Y213"/>
  <c r="AB213"/>
  <c r="Z213"/>
  <c r="X213"/>
  <c r="AA214"/>
  <c r="Y214"/>
  <c r="AB214"/>
  <c r="Z214"/>
  <c r="X214"/>
  <c r="AA215"/>
  <c r="Y215"/>
  <c r="AB215"/>
  <c r="Z215"/>
  <c r="X215"/>
  <c r="AA216"/>
  <c r="Y216"/>
  <c r="AB216"/>
  <c r="Z216"/>
  <c r="X216"/>
  <c r="AA217"/>
  <c r="Y217"/>
  <c r="AB217"/>
  <c r="Z217"/>
  <c r="X217"/>
  <c r="AA218"/>
  <c r="Y218"/>
  <c r="AB218"/>
  <c r="Z218"/>
  <c r="X218"/>
  <c r="AA219"/>
  <c r="Y219"/>
  <c r="AB219"/>
  <c r="Z219"/>
  <c r="X219"/>
  <c r="AA220"/>
  <c r="Y220"/>
  <c r="AB220"/>
  <c r="Z220"/>
  <c r="X220"/>
  <c r="AA221"/>
  <c r="Y221"/>
  <c r="AB221"/>
  <c r="Z221"/>
  <c r="X221"/>
  <c r="AA222"/>
  <c r="Y222"/>
  <c r="AB222"/>
  <c r="Z222"/>
  <c r="X222"/>
  <c r="AA223"/>
  <c r="Y223"/>
  <c r="AB223"/>
  <c r="Z223"/>
  <c r="X223"/>
  <c r="AA224"/>
  <c r="Y224"/>
  <c r="AB224"/>
  <c r="Z224"/>
  <c r="X224"/>
  <c r="AA225"/>
  <c r="Y225"/>
  <c r="AB225"/>
  <c r="Z225"/>
  <c r="X225"/>
  <c r="AA226"/>
  <c r="Y226"/>
  <c r="AB226"/>
  <c r="Z226"/>
  <c r="X226"/>
  <c r="AA227"/>
  <c r="Y227"/>
  <c r="AB227"/>
  <c r="Z227"/>
  <c r="X227"/>
  <c r="AA228"/>
  <c r="Y228"/>
  <c r="AB228"/>
  <c r="Z228"/>
  <c r="X228"/>
  <c r="AA229"/>
  <c r="Y229"/>
  <c r="AB229"/>
  <c r="Z229"/>
  <c r="X229"/>
  <c r="AN135"/>
  <c r="AM142"/>
  <c r="AO142"/>
  <c r="AN143"/>
  <c r="AM144"/>
  <c r="AO144"/>
  <c r="AM146"/>
  <c r="AO146"/>
  <c r="AN147"/>
  <c r="AM148"/>
  <c r="AO148"/>
  <c r="AM154"/>
  <c r="AO154"/>
  <c r="AN155"/>
  <c r="AN157"/>
  <c r="AN159"/>
  <c r="R166"/>
  <c r="R167"/>
  <c r="R168"/>
  <c r="R169"/>
  <c r="R170"/>
  <c r="R171"/>
  <c r="R172"/>
  <c r="R173"/>
  <c r="R174"/>
  <c r="R175"/>
  <c r="R176"/>
  <c r="R177"/>
  <c r="R178"/>
  <c r="AJ34" l="1"/>
  <c r="AO34" s="1"/>
  <c r="AT34" s="1"/>
  <c r="AS34" s="1"/>
  <c r="AJ35"/>
  <c r="AO35" s="1"/>
  <c r="AT35" s="1"/>
  <c r="AS35" s="1"/>
  <c r="AI34"/>
  <c r="AN34" s="1"/>
  <c r="AI35"/>
  <c r="AN35" s="1"/>
  <c r="AW35" s="1"/>
  <c r="AJ111"/>
  <c r="AI104"/>
  <c r="AH104"/>
  <c r="AM104" s="1"/>
  <c r="AL104"/>
  <c r="AQ104" s="1"/>
  <c r="AI134"/>
  <c r="AK132"/>
  <c r="AP132" s="1"/>
  <c r="AJ132"/>
  <c r="AO132" s="1"/>
  <c r="AB175"/>
  <c r="Z175"/>
  <c r="X175"/>
  <c r="Y175"/>
  <c r="AA175"/>
  <c r="AB173"/>
  <c r="Z173"/>
  <c r="X173"/>
  <c r="Y173"/>
  <c r="AA173"/>
  <c r="AB169"/>
  <c r="Z169"/>
  <c r="X169"/>
  <c r="Y169"/>
  <c r="AA169"/>
  <c r="AH106"/>
  <c r="AH99"/>
  <c r="AL106"/>
  <c r="AQ106" s="1"/>
  <c r="AL99"/>
  <c r="AQ99" s="1"/>
  <c r="AK99"/>
  <c r="AP99" s="1"/>
  <c r="AK106"/>
  <c r="AP106" s="1"/>
  <c r="AJ21" s="1"/>
  <c r="AO21" s="1"/>
  <c r="AX21" s="1"/>
  <c r="AA178"/>
  <c r="Y178"/>
  <c r="AB178"/>
  <c r="Z178"/>
  <c r="X178"/>
  <c r="AB176"/>
  <c r="Z176"/>
  <c r="X176"/>
  <c r="Y176"/>
  <c r="AA176"/>
  <c r="AB174"/>
  <c r="Z174"/>
  <c r="X174"/>
  <c r="Y174"/>
  <c r="AA174"/>
  <c r="AB172"/>
  <c r="Z172"/>
  <c r="X172"/>
  <c r="Y172"/>
  <c r="AA172"/>
  <c r="AB170"/>
  <c r="Z170"/>
  <c r="X170"/>
  <c r="Y170"/>
  <c r="AA170"/>
  <c r="AB168"/>
  <c r="Z168"/>
  <c r="X168"/>
  <c r="Y168"/>
  <c r="AA168"/>
  <c r="AB166"/>
  <c r="Z166"/>
  <c r="X166"/>
  <c r="Y166"/>
  <c r="AA166"/>
  <c r="AJ106"/>
  <c r="AO106" s="1"/>
  <c r="AI21" s="1"/>
  <c r="AN21" s="1"/>
  <c r="AW21" s="1"/>
  <c r="AJ99"/>
  <c r="AO99" s="1"/>
  <c r="AI99"/>
  <c r="AI106"/>
  <c r="AJ98"/>
  <c r="AJ109"/>
  <c r="AI109"/>
  <c r="AI98"/>
  <c r="AH156"/>
  <c r="AH96"/>
  <c r="AL156"/>
  <c r="AQ156" s="1"/>
  <c r="AL96"/>
  <c r="AQ96" s="1"/>
  <c r="AK156"/>
  <c r="AP156" s="1"/>
  <c r="AK96"/>
  <c r="AJ140"/>
  <c r="AJ95"/>
  <c r="AI140"/>
  <c r="AN140" s="1"/>
  <c r="AH65" s="1"/>
  <c r="AM65" s="1"/>
  <c r="AV65" s="1"/>
  <c r="AI95"/>
  <c r="AB131"/>
  <c r="Z131"/>
  <c r="X131"/>
  <c r="Y131"/>
  <c r="AA131"/>
  <c r="AB64"/>
  <c r="AL122" s="1"/>
  <c r="AQ122" s="1"/>
  <c r="Z64"/>
  <c r="AJ122" s="1"/>
  <c r="X64"/>
  <c r="AH122" s="1"/>
  <c r="Y64"/>
  <c r="AI122" s="1"/>
  <c r="AN122" s="1"/>
  <c r="AA64"/>
  <c r="AK122" s="1"/>
  <c r="AP122" s="1"/>
  <c r="AB62"/>
  <c r="Z62"/>
  <c r="X62"/>
  <c r="Y62"/>
  <c r="AA62"/>
  <c r="AK125"/>
  <c r="AP125" s="1"/>
  <c r="AJ45" s="1"/>
  <c r="AO45" s="1"/>
  <c r="AT45" s="1"/>
  <c r="AS45" s="1"/>
  <c r="AK93"/>
  <c r="AP93" s="1"/>
  <c r="AJ125"/>
  <c r="AO125" s="1"/>
  <c r="AI45" s="1"/>
  <c r="AN45" s="1"/>
  <c r="AJ93"/>
  <c r="AO93" s="1"/>
  <c r="AJ151"/>
  <c r="AJ150"/>
  <c r="AI150"/>
  <c r="AN150" s="1"/>
  <c r="AI151"/>
  <c r="AJ114"/>
  <c r="AJ92"/>
  <c r="AI114"/>
  <c r="AN114" s="1"/>
  <c r="AI92"/>
  <c r="AN92" s="1"/>
  <c r="AK138"/>
  <c r="AP138" s="1"/>
  <c r="AK137"/>
  <c r="AP137" s="1"/>
  <c r="AJ63" s="1"/>
  <c r="AO63" s="1"/>
  <c r="AJ137"/>
  <c r="AO137" s="1"/>
  <c r="AI63" s="1"/>
  <c r="AN63" s="1"/>
  <c r="AJ138"/>
  <c r="AB9"/>
  <c r="Z9"/>
  <c r="X9"/>
  <c r="Y9"/>
  <c r="AA9"/>
  <c r="AK119"/>
  <c r="AP119" s="1"/>
  <c r="AK117"/>
  <c r="AP117" s="1"/>
  <c r="AJ119"/>
  <c r="AO119" s="1"/>
  <c r="AJ117"/>
  <c r="AO117" s="1"/>
  <c r="AK113"/>
  <c r="AP113" s="1"/>
  <c r="AJ113"/>
  <c r="AH111"/>
  <c r="AL111"/>
  <c r="AQ111" s="1"/>
  <c r="AK111"/>
  <c r="AP111" s="1"/>
  <c r="AJ30" s="1"/>
  <c r="AO30" s="1"/>
  <c r="AT30" s="1"/>
  <c r="AS30" s="1"/>
  <c r="AJ103"/>
  <c r="AI103"/>
  <c r="AH97"/>
  <c r="AL97"/>
  <c r="AQ97" s="1"/>
  <c r="AK97"/>
  <c r="AP97" s="1"/>
  <c r="AK104"/>
  <c r="AP104" s="1"/>
  <c r="AJ104"/>
  <c r="AJ134"/>
  <c r="AN134" s="1"/>
  <c r="AH57" s="1"/>
  <c r="AM57" s="1"/>
  <c r="AV57" s="1"/>
  <c r="AK152"/>
  <c r="AP152" s="1"/>
  <c r="AJ152"/>
  <c r="AH153"/>
  <c r="AL153"/>
  <c r="AQ153" s="1"/>
  <c r="AK153"/>
  <c r="AP153" s="1"/>
  <c r="AJ77" s="1"/>
  <c r="AO77" s="1"/>
  <c r="AT77" s="1"/>
  <c r="AS77" s="1"/>
  <c r="AJ149"/>
  <c r="AI149"/>
  <c r="AI133"/>
  <c r="AH133"/>
  <c r="AL133"/>
  <c r="AQ133" s="1"/>
  <c r="AK139"/>
  <c r="AP139" s="1"/>
  <c r="AJ139"/>
  <c r="AI161"/>
  <c r="AH161"/>
  <c r="AL161"/>
  <c r="AQ161" s="1"/>
  <c r="AI145"/>
  <c r="AH145"/>
  <c r="AL145"/>
  <c r="AQ145" s="1"/>
  <c r="AK118"/>
  <c r="AP118" s="1"/>
  <c r="AJ118"/>
  <c r="AB177"/>
  <c r="Z177"/>
  <c r="X177"/>
  <c r="Y177"/>
  <c r="AA177"/>
  <c r="AB171"/>
  <c r="Z171"/>
  <c r="X171"/>
  <c r="Y171"/>
  <c r="AA171"/>
  <c r="AB167"/>
  <c r="Z167"/>
  <c r="X167"/>
  <c r="Y167"/>
  <c r="AA167"/>
  <c r="AH98"/>
  <c r="AM98" s="1"/>
  <c r="AH109"/>
  <c r="AM109" s="1"/>
  <c r="AL98"/>
  <c r="AQ98" s="1"/>
  <c r="AL109"/>
  <c r="AQ109" s="1"/>
  <c r="AK109"/>
  <c r="AP109" s="1"/>
  <c r="AK98"/>
  <c r="AP98" s="1"/>
  <c r="AJ156"/>
  <c r="AO156" s="1"/>
  <c r="AJ96"/>
  <c r="AI156"/>
  <c r="AN156" s="1"/>
  <c r="AI96"/>
  <c r="AH140"/>
  <c r="AM140" s="1"/>
  <c r="AG65" s="1"/>
  <c r="AH95"/>
  <c r="AL140"/>
  <c r="AQ140" s="1"/>
  <c r="AL95"/>
  <c r="AQ95" s="1"/>
  <c r="AK140"/>
  <c r="AP140" s="1"/>
  <c r="AJ65" s="1"/>
  <c r="AO65" s="1"/>
  <c r="AX65" s="1"/>
  <c r="AK95"/>
  <c r="AJ158"/>
  <c r="AJ94"/>
  <c r="AI158"/>
  <c r="AN158" s="1"/>
  <c r="AI94"/>
  <c r="AN94" s="1"/>
  <c r="AH73" s="1"/>
  <c r="AM73" s="1"/>
  <c r="AV73" s="1"/>
  <c r="AB65"/>
  <c r="AL136" s="1"/>
  <c r="AQ136" s="1"/>
  <c r="Z65"/>
  <c r="AJ136" s="1"/>
  <c r="X65"/>
  <c r="AH136" s="1"/>
  <c r="Y65"/>
  <c r="AI136" s="1"/>
  <c r="AN136" s="1"/>
  <c r="AA65"/>
  <c r="AK136" s="1"/>
  <c r="AP136" s="1"/>
  <c r="AB63"/>
  <c r="Z63"/>
  <c r="AJ91" s="1"/>
  <c r="X63"/>
  <c r="Y63"/>
  <c r="AA63"/>
  <c r="AI125"/>
  <c r="AN125" s="1"/>
  <c r="AH45" s="1"/>
  <c r="AM45" s="1"/>
  <c r="AV45" s="1"/>
  <c r="AI93"/>
  <c r="AN93" s="1"/>
  <c r="AH125"/>
  <c r="AM125" s="1"/>
  <c r="AG45" s="1"/>
  <c r="AH93"/>
  <c r="AM93" s="1"/>
  <c r="AL125"/>
  <c r="AQ125" s="1"/>
  <c r="AL93"/>
  <c r="AQ93" s="1"/>
  <c r="AH151"/>
  <c r="AM151" s="1"/>
  <c r="AH150"/>
  <c r="AM150" s="1"/>
  <c r="AL151"/>
  <c r="AQ151" s="1"/>
  <c r="AL150"/>
  <c r="AQ150" s="1"/>
  <c r="AK150"/>
  <c r="AP150" s="1"/>
  <c r="AK151"/>
  <c r="AP151" s="1"/>
  <c r="AH114"/>
  <c r="AM114" s="1"/>
  <c r="AH92"/>
  <c r="AM92" s="1"/>
  <c r="AL114"/>
  <c r="AQ114" s="1"/>
  <c r="AL92"/>
  <c r="AQ92" s="1"/>
  <c r="AK114"/>
  <c r="AP114" s="1"/>
  <c r="AK92"/>
  <c r="AP92" s="1"/>
  <c r="AI138"/>
  <c r="AN138" s="1"/>
  <c r="AI137"/>
  <c r="AN137" s="1"/>
  <c r="AH63" s="1"/>
  <c r="AM63" s="1"/>
  <c r="AV63" s="1"/>
  <c r="AH137"/>
  <c r="AM137" s="1"/>
  <c r="AG63" s="1"/>
  <c r="AK63" s="1"/>
  <c r="AL63" s="1"/>
  <c r="AU63" s="1"/>
  <c r="AH138"/>
  <c r="AL137"/>
  <c r="AQ137" s="1"/>
  <c r="AL138"/>
  <c r="AQ138" s="1"/>
  <c r="AB10"/>
  <c r="Z10"/>
  <c r="X10"/>
  <c r="AA10"/>
  <c r="Y10"/>
  <c r="AB8"/>
  <c r="Z8"/>
  <c r="AJ90" s="1"/>
  <c r="X8"/>
  <c r="Y8"/>
  <c r="AI90" s="1"/>
  <c r="AN90" s="1"/>
  <c r="AA8"/>
  <c r="AK141" s="1"/>
  <c r="AP141" s="1"/>
  <c r="AI119"/>
  <c r="AN119" s="1"/>
  <c r="AI117"/>
  <c r="AN117" s="1"/>
  <c r="AH119"/>
  <c r="AM119" s="1"/>
  <c r="AH117"/>
  <c r="AM117" s="1"/>
  <c r="AL119"/>
  <c r="AQ119" s="1"/>
  <c r="AL117"/>
  <c r="AQ117" s="1"/>
  <c r="AI113"/>
  <c r="AN113" s="1"/>
  <c r="AI91"/>
  <c r="AH113"/>
  <c r="AM113" s="1"/>
  <c r="AH91"/>
  <c r="AM91" s="1"/>
  <c r="AL113"/>
  <c r="AQ113" s="1"/>
  <c r="AL91"/>
  <c r="AQ91" s="1"/>
  <c r="AJ141"/>
  <c r="AI141"/>
  <c r="AI111"/>
  <c r="AN111" s="1"/>
  <c r="AH30" s="1"/>
  <c r="AM30" s="1"/>
  <c r="AV30" s="1"/>
  <c r="AH103"/>
  <c r="AM103" s="1"/>
  <c r="AG14" s="1"/>
  <c r="AL103"/>
  <c r="AQ103" s="1"/>
  <c r="AK103"/>
  <c r="AP103" s="1"/>
  <c r="AJ14" s="1"/>
  <c r="AO14" s="1"/>
  <c r="AT14" s="1"/>
  <c r="AS14" s="1"/>
  <c r="AJ97"/>
  <c r="AO97" s="1"/>
  <c r="AI97"/>
  <c r="AN104"/>
  <c r="AH134"/>
  <c r="AM134" s="1"/>
  <c r="AG57" s="1"/>
  <c r="AL134"/>
  <c r="AQ134" s="1"/>
  <c r="AK134"/>
  <c r="AP134" s="1"/>
  <c r="AJ57" s="1"/>
  <c r="AO57" s="1"/>
  <c r="AT57" s="1"/>
  <c r="AS57" s="1"/>
  <c r="AI132"/>
  <c r="AN132" s="1"/>
  <c r="AH132"/>
  <c r="AL132"/>
  <c r="AQ132" s="1"/>
  <c r="AI152"/>
  <c r="AN152" s="1"/>
  <c r="AH152"/>
  <c r="AM152" s="1"/>
  <c r="AL152"/>
  <c r="AQ152" s="1"/>
  <c r="AJ153"/>
  <c r="AO153" s="1"/>
  <c r="AI77" s="1"/>
  <c r="AN77" s="1"/>
  <c r="AW77" s="1"/>
  <c r="AI153"/>
  <c r="AH149"/>
  <c r="AM149" s="1"/>
  <c r="AG75" s="1"/>
  <c r="AL149"/>
  <c r="AQ149" s="1"/>
  <c r="AK149"/>
  <c r="AP149" s="1"/>
  <c r="AJ75" s="1"/>
  <c r="AO75" s="1"/>
  <c r="AT75" s="1"/>
  <c r="AS75" s="1"/>
  <c r="AX77"/>
  <c r="AI115"/>
  <c r="AN115" s="1"/>
  <c r="AH115"/>
  <c r="AL115"/>
  <c r="AQ115" s="1"/>
  <c r="AX45"/>
  <c r="AK133"/>
  <c r="AP133" s="1"/>
  <c r="AJ133"/>
  <c r="AX34"/>
  <c r="AX30"/>
  <c r="AI139"/>
  <c r="AN139" s="1"/>
  <c r="AH139"/>
  <c r="AL139"/>
  <c r="AQ139" s="1"/>
  <c r="AX57"/>
  <c r="AK161"/>
  <c r="AP161" s="1"/>
  <c r="AJ161"/>
  <c r="AK145"/>
  <c r="AP145" s="1"/>
  <c r="AJ70" s="1"/>
  <c r="AO70" s="1"/>
  <c r="AT70" s="1"/>
  <c r="AS70" s="1"/>
  <c r="AJ145"/>
  <c r="AX35"/>
  <c r="AI118"/>
  <c r="AN118" s="1"/>
  <c r="AH118"/>
  <c r="AL118"/>
  <c r="AQ118" s="1"/>
  <c r="AK94" l="1"/>
  <c r="AP94" s="1"/>
  <c r="AJ73" s="1"/>
  <c r="AO73" s="1"/>
  <c r="AX73" s="1"/>
  <c r="AH94"/>
  <c r="AL94"/>
  <c r="AQ94" s="1"/>
  <c r="AO145"/>
  <c r="AI70" s="1"/>
  <c r="AN70" s="1"/>
  <c r="AO161"/>
  <c r="AM139"/>
  <c r="AN141"/>
  <c r="AI160"/>
  <c r="AJ160"/>
  <c r="AM145"/>
  <c r="AG70" s="1"/>
  <c r="AM133"/>
  <c r="AN149"/>
  <c r="AH75" s="1"/>
  <c r="AM75" s="1"/>
  <c r="AV75" s="1"/>
  <c r="AO113"/>
  <c r="AN109"/>
  <c r="AN99"/>
  <c r="AH34"/>
  <c r="AM34" s="1"/>
  <c r="AV34" s="1"/>
  <c r="AH35"/>
  <c r="AM35" s="1"/>
  <c r="AV35" s="1"/>
  <c r="AH16"/>
  <c r="AM16" s="1"/>
  <c r="AV16" s="1"/>
  <c r="AH17"/>
  <c r="AM17" s="1"/>
  <c r="AV17" s="1"/>
  <c r="AH18"/>
  <c r="AM18" s="1"/>
  <c r="AV18" s="1"/>
  <c r="AH66"/>
  <c r="AM66" s="1"/>
  <c r="AR66" s="1"/>
  <c r="AV66" s="1"/>
  <c r="AH67"/>
  <c r="AM67" s="1"/>
  <c r="AR67" s="1"/>
  <c r="AV67" s="1"/>
  <c r="AG37"/>
  <c r="AG38"/>
  <c r="AH37"/>
  <c r="AM37" s="1"/>
  <c r="AV37" s="1"/>
  <c r="AH38"/>
  <c r="AM38" s="1"/>
  <c r="AV38" s="1"/>
  <c r="AJ62"/>
  <c r="AO62" s="1"/>
  <c r="AJ76"/>
  <c r="AO76" s="1"/>
  <c r="AK45"/>
  <c r="AL45" s="1"/>
  <c r="AU45" s="1"/>
  <c r="AH82"/>
  <c r="AM82" s="1"/>
  <c r="AV82" s="1"/>
  <c r="AH83"/>
  <c r="AM83" s="1"/>
  <c r="AV83" s="1"/>
  <c r="AH62"/>
  <c r="AM62" s="1"/>
  <c r="AV62" s="1"/>
  <c r="AH76"/>
  <c r="AM76" s="1"/>
  <c r="AV76" s="1"/>
  <c r="AG16"/>
  <c r="AG17"/>
  <c r="AG18"/>
  <c r="AM94"/>
  <c r="AG73" s="1"/>
  <c r="AX70"/>
  <c r="AW45"/>
  <c r="AW34"/>
  <c r="AG11"/>
  <c r="AG13"/>
  <c r="AG15"/>
  <c r="AG24"/>
  <c r="AG27"/>
  <c r="AG28"/>
  <c r="AG31"/>
  <c r="AG32"/>
  <c r="AG33"/>
  <c r="AG40"/>
  <c r="AG43"/>
  <c r="AG44"/>
  <c r="AG48"/>
  <c r="AG53"/>
  <c r="AG55"/>
  <c r="AG68"/>
  <c r="AG69"/>
  <c r="AJ66"/>
  <c r="AO66" s="1"/>
  <c r="AT66" s="1"/>
  <c r="AX66" s="1"/>
  <c r="AJ67"/>
  <c r="AO67" s="1"/>
  <c r="AT67" s="1"/>
  <c r="AX67" s="1"/>
  <c r="AJ8"/>
  <c r="AO8" s="1"/>
  <c r="AJ26"/>
  <c r="AO26" s="1"/>
  <c r="AJ29"/>
  <c r="AO29" s="1"/>
  <c r="AJ42"/>
  <c r="AO42" s="1"/>
  <c r="AJ51"/>
  <c r="AO51" s="1"/>
  <c r="AJ52"/>
  <c r="AO52" s="1"/>
  <c r="AJ54"/>
  <c r="AO54" s="1"/>
  <c r="AJ59"/>
  <c r="AO59" s="1"/>
  <c r="AJ81"/>
  <c r="AO81" s="1"/>
  <c r="AG8"/>
  <c r="AG26"/>
  <c r="AG29"/>
  <c r="AG42"/>
  <c r="AG51"/>
  <c r="AG52"/>
  <c r="AG54"/>
  <c r="AG59"/>
  <c r="AG81"/>
  <c r="AG62"/>
  <c r="AG76"/>
  <c r="AG46"/>
  <c r="AG47"/>
  <c r="AG64"/>
  <c r="AG71"/>
  <c r="AG72"/>
  <c r="AH46"/>
  <c r="AM46" s="1"/>
  <c r="AV46" s="1"/>
  <c r="AH47"/>
  <c r="AM47" s="1"/>
  <c r="AV47" s="1"/>
  <c r="AH64"/>
  <c r="AM64" s="1"/>
  <c r="AV64" s="1"/>
  <c r="AH71"/>
  <c r="AM71" s="1"/>
  <c r="AV71" s="1"/>
  <c r="AH72"/>
  <c r="AM72" s="1"/>
  <c r="AV72" s="1"/>
  <c r="AJ16"/>
  <c r="AO16" s="1"/>
  <c r="AJ17"/>
  <c r="AO17" s="1"/>
  <c r="AJ18"/>
  <c r="AO18" s="1"/>
  <c r="AI37"/>
  <c r="AN37" s="1"/>
  <c r="AI38"/>
  <c r="AN38" s="1"/>
  <c r="AJ37"/>
  <c r="AO37" s="1"/>
  <c r="AJ38"/>
  <c r="AO38" s="1"/>
  <c r="AT63"/>
  <c r="AS63" s="1"/>
  <c r="AW63" s="1"/>
  <c r="AH8"/>
  <c r="AM8" s="1"/>
  <c r="AV8" s="1"/>
  <c r="AH26"/>
  <c r="AM26" s="1"/>
  <c r="AV26" s="1"/>
  <c r="AH29"/>
  <c r="AM29" s="1"/>
  <c r="AV29" s="1"/>
  <c r="AH42"/>
  <c r="AM42" s="1"/>
  <c r="AV42" s="1"/>
  <c r="AH51"/>
  <c r="AM51" s="1"/>
  <c r="AV51" s="1"/>
  <c r="AH52"/>
  <c r="AM52" s="1"/>
  <c r="AV52" s="1"/>
  <c r="AH54"/>
  <c r="AM54" s="1"/>
  <c r="AV54" s="1"/>
  <c r="AH59"/>
  <c r="AM59" s="1"/>
  <c r="AV59" s="1"/>
  <c r="AH81"/>
  <c r="AM81" s="1"/>
  <c r="AV81" s="1"/>
  <c r="AI46"/>
  <c r="AN46" s="1"/>
  <c r="AI47"/>
  <c r="AN47" s="1"/>
  <c r="AI64"/>
  <c r="AN64" s="1"/>
  <c r="AI71"/>
  <c r="AN71" s="1"/>
  <c r="AI72"/>
  <c r="AN72" s="1"/>
  <c r="AJ46"/>
  <c r="AO46" s="1"/>
  <c r="AJ47"/>
  <c r="AO47" s="1"/>
  <c r="AJ64"/>
  <c r="AO64" s="1"/>
  <c r="AJ71"/>
  <c r="AO71" s="1"/>
  <c r="AJ72"/>
  <c r="AO72" s="1"/>
  <c r="AW70"/>
  <c r="AX75"/>
  <c r="AH141"/>
  <c r="AM141" s="1"/>
  <c r="AL141"/>
  <c r="AQ141" s="1"/>
  <c r="AM138"/>
  <c r="AK91"/>
  <c r="AP91" s="1"/>
  <c r="AN103"/>
  <c r="AH14" s="1"/>
  <c r="AM14" s="1"/>
  <c r="AV14" s="1"/>
  <c r="AO138"/>
  <c r="AN98"/>
  <c r="AN106"/>
  <c r="AH21" s="1"/>
  <c r="AM21" s="1"/>
  <c r="AV21" s="1"/>
  <c r="AX14"/>
  <c r="AO141"/>
  <c r="AM136"/>
  <c r="AK160"/>
  <c r="AP160" s="1"/>
  <c r="AJ84" s="1"/>
  <c r="AO84" s="1"/>
  <c r="AX84" s="1"/>
  <c r="AH160"/>
  <c r="AM160" s="1"/>
  <c r="AG84" s="1"/>
  <c r="AL160"/>
  <c r="AQ160" s="1"/>
  <c r="AO118"/>
  <c r="AN145"/>
  <c r="AH70" s="1"/>
  <c r="AM70" s="1"/>
  <c r="AV70" s="1"/>
  <c r="AM161"/>
  <c r="AO139"/>
  <c r="AN133"/>
  <c r="AO149"/>
  <c r="AI75" s="1"/>
  <c r="AN75" s="1"/>
  <c r="AW75" s="1"/>
  <c r="AO152"/>
  <c r="AO104"/>
  <c r="AM97"/>
  <c r="AO103"/>
  <c r="AI14" s="1"/>
  <c r="AN14" s="1"/>
  <c r="AW14" s="1"/>
  <c r="AK90"/>
  <c r="AP90" s="1"/>
  <c r="AL90"/>
  <c r="AQ90" s="1"/>
  <c r="AH90"/>
  <c r="AM90" s="1"/>
  <c r="AO114"/>
  <c r="AO151"/>
  <c r="AI123"/>
  <c r="AN123" s="1"/>
  <c r="AJ123"/>
  <c r="AM122"/>
  <c r="AK158"/>
  <c r="AP158" s="1"/>
  <c r="AL158"/>
  <c r="AQ158" s="1"/>
  <c r="AH158"/>
  <c r="AM158" s="1"/>
  <c r="AO109"/>
  <c r="AM106"/>
  <c r="AG21" s="1"/>
  <c r="AK21" s="1"/>
  <c r="AL21" s="1"/>
  <c r="AU21" s="1"/>
  <c r="AO111"/>
  <c r="AI30" s="1"/>
  <c r="AN30" s="1"/>
  <c r="AW30" s="1"/>
  <c r="AM118"/>
  <c r="AO133"/>
  <c r="AM115"/>
  <c r="AN153"/>
  <c r="AH77" s="1"/>
  <c r="AM77" s="1"/>
  <c r="AV77" s="1"/>
  <c r="AM132"/>
  <c r="AN97"/>
  <c r="AO90"/>
  <c r="AN91"/>
  <c r="AO136"/>
  <c r="AO94"/>
  <c r="AI73" s="1"/>
  <c r="AN73" s="1"/>
  <c r="AW73" s="1"/>
  <c r="AO160"/>
  <c r="AI84" s="1"/>
  <c r="AN84" s="1"/>
  <c r="AW84" s="1"/>
  <c r="AN161"/>
  <c r="AM153"/>
  <c r="AG77" s="1"/>
  <c r="AO134"/>
  <c r="AI57" s="1"/>
  <c r="AN57" s="1"/>
  <c r="AW57" s="1"/>
  <c r="AM111"/>
  <c r="AG30" s="1"/>
  <c r="AO92"/>
  <c r="AN151"/>
  <c r="AO150"/>
  <c r="AK123"/>
  <c r="AP123" s="1"/>
  <c r="AH123"/>
  <c r="AM123" s="1"/>
  <c r="AL123"/>
  <c r="AQ123" s="1"/>
  <c r="AO122"/>
  <c r="AO140"/>
  <c r="AI65" s="1"/>
  <c r="AN65" s="1"/>
  <c r="AW65" s="1"/>
  <c r="AM156"/>
  <c r="AO98"/>
  <c r="AM99"/>
  <c r="AT29" l="1"/>
  <c r="AS29" s="1"/>
  <c r="AK30"/>
  <c r="AL30" s="1"/>
  <c r="AU30" s="1"/>
  <c r="AK77"/>
  <c r="AL77" s="1"/>
  <c r="AU77" s="1"/>
  <c r="AN160"/>
  <c r="AH84" s="1"/>
  <c r="AM84" s="1"/>
  <c r="AV84" s="1"/>
  <c r="AG34"/>
  <c r="AK34" s="1"/>
  <c r="AL34" s="1"/>
  <c r="AU34" s="1"/>
  <c r="AG35"/>
  <c r="AK35" s="1"/>
  <c r="AL35" s="1"/>
  <c r="AU35" s="1"/>
  <c r="AG82"/>
  <c r="AG83"/>
  <c r="AJ82"/>
  <c r="AO82" s="1"/>
  <c r="AX82" s="1"/>
  <c r="AJ83"/>
  <c r="AO83" s="1"/>
  <c r="AX83" s="1"/>
  <c r="AK84"/>
  <c r="AL84" s="1"/>
  <c r="AU84" s="1"/>
  <c r="AJ11"/>
  <c r="AO11" s="1"/>
  <c r="AJ13"/>
  <c r="AO13" s="1"/>
  <c r="AJ15"/>
  <c r="AO15" s="1"/>
  <c r="AJ24"/>
  <c r="AO24" s="1"/>
  <c r="AJ27"/>
  <c r="AO27" s="1"/>
  <c r="AJ28"/>
  <c r="AO28" s="1"/>
  <c r="AJ31"/>
  <c r="AO31" s="1"/>
  <c r="AJ32"/>
  <c r="AO32" s="1"/>
  <c r="AJ33"/>
  <c r="AO33" s="1"/>
  <c r="AJ40"/>
  <c r="AO40" s="1"/>
  <c r="AJ43"/>
  <c r="AO43" s="1"/>
  <c r="AJ44"/>
  <c r="AO44" s="1"/>
  <c r="AJ48"/>
  <c r="AO48" s="1"/>
  <c r="AJ53"/>
  <c r="AO53" s="1"/>
  <c r="AJ55"/>
  <c r="AO55" s="1"/>
  <c r="AJ68"/>
  <c r="AO68" s="1"/>
  <c r="AJ69"/>
  <c r="AO69" s="1"/>
  <c r="AT72"/>
  <c r="AS72" s="1"/>
  <c r="AW72" s="1"/>
  <c r="AT64"/>
  <c r="AS64" s="1"/>
  <c r="AW64" s="1"/>
  <c r="AT46"/>
  <c r="AS46" s="1"/>
  <c r="AW46" s="1"/>
  <c r="AT37"/>
  <c r="AS37" s="1"/>
  <c r="AT17"/>
  <c r="AS17" s="1"/>
  <c r="AK71"/>
  <c r="AL71" s="1"/>
  <c r="AU71" s="1"/>
  <c r="AK47"/>
  <c r="AL47" s="1"/>
  <c r="AU47" s="1"/>
  <c r="AT59"/>
  <c r="AS59" s="1"/>
  <c r="AT52"/>
  <c r="AS52" s="1"/>
  <c r="AT42"/>
  <c r="AS42" s="1"/>
  <c r="AT26"/>
  <c r="AS26" s="1"/>
  <c r="AK73"/>
  <c r="AL73" s="1"/>
  <c r="AU73" s="1"/>
  <c r="AT76"/>
  <c r="AS76" s="1"/>
  <c r="AK38"/>
  <c r="AL38" s="1"/>
  <c r="AU38" s="1"/>
  <c r="AK14"/>
  <c r="AL14" s="1"/>
  <c r="AU14" s="1"/>
  <c r="AW37"/>
  <c r="AK57"/>
  <c r="AL57" s="1"/>
  <c r="AU57" s="1"/>
  <c r="AK75"/>
  <c r="AL75" s="1"/>
  <c r="AU75" s="1"/>
  <c r="AI62"/>
  <c r="AN62" s="1"/>
  <c r="AI76"/>
  <c r="AN76" s="1"/>
  <c r="AW76" s="1"/>
  <c r="AI8"/>
  <c r="AN8" s="1"/>
  <c r="AI26"/>
  <c r="AN26" s="1"/>
  <c r="AW26" s="1"/>
  <c r="AI29"/>
  <c r="AN29" s="1"/>
  <c r="AW29" s="1"/>
  <c r="AI42"/>
  <c r="AN42" s="1"/>
  <c r="AI51"/>
  <c r="AN51" s="1"/>
  <c r="AI52"/>
  <c r="AN52" s="1"/>
  <c r="AI54"/>
  <c r="AN54" s="1"/>
  <c r="AI59"/>
  <c r="AN59" s="1"/>
  <c r="AI81"/>
  <c r="AN81" s="1"/>
  <c r="AH11"/>
  <c r="AM11" s="1"/>
  <c r="AV11" s="1"/>
  <c r="AH13"/>
  <c r="AM13" s="1"/>
  <c r="AV13" s="1"/>
  <c r="AH15"/>
  <c r="AM15" s="1"/>
  <c r="AV15" s="1"/>
  <c r="AH24"/>
  <c r="AM24" s="1"/>
  <c r="AV24" s="1"/>
  <c r="AH27"/>
  <c r="AM27" s="1"/>
  <c r="AV27" s="1"/>
  <c r="AH28"/>
  <c r="AM28" s="1"/>
  <c r="AV28" s="1"/>
  <c r="AH31"/>
  <c r="AM31" s="1"/>
  <c r="AV31" s="1"/>
  <c r="AH32"/>
  <c r="AM32" s="1"/>
  <c r="AV32" s="1"/>
  <c r="AH33"/>
  <c r="AM33" s="1"/>
  <c r="AV33" s="1"/>
  <c r="AH40"/>
  <c r="AM40" s="1"/>
  <c r="AV40" s="1"/>
  <c r="AH43"/>
  <c r="AM43" s="1"/>
  <c r="AV43" s="1"/>
  <c r="AH44"/>
  <c r="AM44" s="1"/>
  <c r="AV44" s="1"/>
  <c r="AH48"/>
  <c r="AM48" s="1"/>
  <c r="AV48" s="1"/>
  <c r="AH53"/>
  <c r="AM53" s="1"/>
  <c r="AV53" s="1"/>
  <c r="AH55"/>
  <c r="AM55" s="1"/>
  <c r="AV55" s="1"/>
  <c r="AH68"/>
  <c r="AM68" s="1"/>
  <c r="AV68" s="1"/>
  <c r="AH69"/>
  <c r="AM69" s="1"/>
  <c r="AV69" s="1"/>
  <c r="AI16"/>
  <c r="AN16" s="1"/>
  <c r="AI17"/>
  <c r="AN17" s="1"/>
  <c r="AW17" s="1"/>
  <c r="AI18"/>
  <c r="AN18" s="1"/>
  <c r="AI66"/>
  <c r="AN66" s="1"/>
  <c r="AS66" s="1"/>
  <c r="AW66" s="1"/>
  <c r="AI67"/>
  <c r="AN67" s="1"/>
  <c r="AS67" s="1"/>
  <c r="AW67" s="1"/>
  <c r="AG66"/>
  <c r="AG67"/>
  <c r="AT71"/>
  <c r="AS71" s="1"/>
  <c r="AW71" s="1"/>
  <c r="AT47"/>
  <c r="AS47" s="1"/>
  <c r="AW47" s="1"/>
  <c r="AT38"/>
  <c r="AS38" s="1"/>
  <c r="AW38" s="1"/>
  <c r="AT18"/>
  <c r="AS18" s="1"/>
  <c r="AW18" s="1"/>
  <c r="AT16"/>
  <c r="AS16" s="1"/>
  <c r="AW16" s="1"/>
  <c r="AK72"/>
  <c r="AL72" s="1"/>
  <c r="AU72" s="1"/>
  <c r="AK46"/>
  <c r="AL46" s="1"/>
  <c r="AU46" s="1"/>
  <c r="AK59"/>
  <c r="AL59" s="1"/>
  <c r="AU59" s="1"/>
  <c r="AK52"/>
  <c r="AL52" s="1"/>
  <c r="AU52" s="1"/>
  <c r="AK42"/>
  <c r="AL42" s="1"/>
  <c r="AU42" s="1"/>
  <c r="AT81"/>
  <c r="AS81" s="1"/>
  <c r="AW81" s="1"/>
  <c r="AT54"/>
  <c r="AS54" s="1"/>
  <c r="AW54" s="1"/>
  <c r="AT51"/>
  <c r="AS51" s="1"/>
  <c r="AW51" s="1"/>
  <c r="AT8"/>
  <c r="AS8" s="1"/>
  <c r="AW8" s="1"/>
  <c r="AT62"/>
  <c r="AS62" s="1"/>
  <c r="AW62" s="1"/>
  <c r="AK37"/>
  <c r="AL37" s="1"/>
  <c r="AU37" s="1"/>
  <c r="AK65"/>
  <c r="AL65" s="1"/>
  <c r="AU65" s="1"/>
  <c r="AX63"/>
  <c r="AK64"/>
  <c r="AL64" s="1"/>
  <c r="AU64" s="1"/>
  <c r="AK62"/>
  <c r="AL62" s="1"/>
  <c r="AU62" s="1"/>
  <c r="AK26"/>
  <c r="AL26" s="1"/>
  <c r="AU26" s="1"/>
  <c r="AO91"/>
  <c r="AK18"/>
  <c r="AL18" s="1"/>
  <c r="AU18" s="1"/>
  <c r="AK16"/>
  <c r="AL16" s="1"/>
  <c r="AU16" s="1"/>
  <c r="AK70"/>
  <c r="AL70" s="1"/>
  <c r="AU70" s="1"/>
  <c r="AO123"/>
  <c r="AO158"/>
  <c r="AX29" l="1"/>
  <c r="AX62"/>
  <c r="AX8"/>
  <c r="AX51"/>
  <c r="AX54"/>
  <c r="AX81"/>
  <c r="AX16"/>
  <c r="AX38"/>
  <c r="AX47"/>
  <c r="AX71"/>
  <c r="AX72"/>
  <c r="AI11"/>
  <c r="AN11" s="1"/>
  <c r="AI13"/>
  <c r="AI15"/>
  <c r="AN15" s="1"/>
  <c r="AI24"/>
  <c r="AI27"/>
  <c r="AN27" s="1"/>
  <c r="AI28"/>
  <c r="AI31"/>
  <c r="AN31" s="1"/>
  <c r="AI32"/>
  <c r="AI33"/>
  <c r="AN33" s="1"/>
  <c r="AI40"/>
  <c r="AI43"/>
  <c r="AN43" s="1"/>
  <c r="AI44"/>
  <c r="AI48"/>
  <c r="AN48" s="1"/>
  <c r="AI53"/>
  <c r="AI55"/>
  <c r="AN55" s="1"/>
  <c r="AI68"/>
  <c r="AI69"/>
  <c r="AN69" s="1"/>
  <c r="AK66"/>
  <c r="AL66"/>
  <c r="AQ66" s="1"/>
  <c r="AU66" s="1"/>
  <c r="AT69"/>
  <c r="AS69" s="1"/>
  <c r="AX69"/>
  <c r="AT55"/>
  <c r="AS55" s="1"/>
  <c r="AX55"/>
  <c r="AT48"/>
  <c r="AS48" s="1"/>
  <c r="AW48" s="1"/>
  <c r="AX48"/>
  <c r="AT43"/>
  <c r="AS43" s="1"/>
  <c r="AW43" s="1"/>
  <c r="AT33"/>
  <c r="AS33" s="1"/>
  <c r="AT31"/>
  <c r="AS31" s="1"/>
  <c r="AT27"/>
  <c r="AS27" s="1"/>
  <c r="AT15"/>
  <c r="AS15" s="1"/>
  <c r="AT11"/>
  <c r="AS11" s="1"/>
  <c r="AX18"/>
  <c r="AK17"/>
  <c r="AL17" s="1"/>
  <c r="AU17" s="1"/>
  <c r="AK27"/>
  <c r="AL27" s="1"/>
  <c r="AU27" s="1"/>
  <c r="AK33"/>
  <c r="AL33" s="1"/>
  <c r="AU33" s="1"/>
  <c r="AK29"/>
  <c r="AL29" s="1"/>
  <c r="AU29" s="1"/>
  <c r="AX76"/>
  <c r="AK15"/>
  <c r="AL15" s="1"/>
  <c r="AU15" s="1"/>
  <c r="AX26"/>
  <c r="AX42"/>
  <c r="AX52"/>
  <c r="AX59"/>
  <c r="AX17"/>
  <c r="AX37"/>
  <c r="AX46"/>
  <c r="AX64"/>
  <c r="AI82"/>
  <c r="AN82" s="1"/>
  <c r="AW82" s="1"/>
  <c r="AI83"/>
  <c r="AN83" s="1"/>
  <c r="AW83" s="1"/>
  <c r="AK67"/>
  <c r="AL67" s="1"/>
  <c r="AQ67" s="1"/>
  <c r="AU67" s="1"/>
  <c r="AT68"/>
  <c r="AS68" s="1"/>
  <c r="AT53"/>
  <c r="AS53" s="1"/>
  <c r="AT44"/>
  <c r="AS44" s="1"/>
  <c r="AT40"/>
  <c r="AS40" s="1"/>
  <c r="AT32"/>
  <c r="AS32" s="1"/>
  <c r="AT28"/>
  <c r="AS28" s="1"/>
  <c r="AT24"/>
  <c r="AS24" s="1"/>
  <c r="AT13"/>
  <c r="AS13" s="1"/>
  <c r="AK11"/>
  <c r="AL11" s="1"/>
  <c r="AU11" s="1"/>
  <c r="AK31"/>
  <c r="AL31" s="1"/>
  <c r="AU31" s="1"/>
  <c r="AK8"/>
  <c r="AL8" s="1"/>
  <c r="AU8" s="1"/>
  <c r="AK76"/>
  <c r="AL76" s="1"/>
  <c r="AU76" s="1"/>
  <c r="AK43"/>
  <c r="AL43" s="1"/>
  <c r="AU43" s="1"/>
  <c r="AK48"/>
  <c r="AL48" s="1"/>
  <c r="AU48" s="1"/>
  <c r="AK55"/>
  <c r="AL55" s="1"/>
  <c r="AU55" s="1"/>
  <c r="AK69"/>
  <c r="AL69" s="1"/>
  <c r="AU69" s="1"/>
  <c r="AW42"/>
  <c r="AW52"/>
  <c r="AW59"/>
  <c r="AK51"/>
  <c r="AL51" s="1"/>
  <c r="AU51" s="1"/>
  <c r="AK54"/>
  <c r="AL54" s="1"/>
  <c r="AU54" s="1"/>
  <c r="AK81"/>
  <c r="AL81" s="1"/>
  <c r="AU81" s="1"/>
  <c r="AK83"/>
  <c r="AL83" s="1"/>
  <c r="AU83" s="1"/>
  <c r="AX15" l="1"/>
  <c r="AX27"/>
  <c r="AX31"/>
  <c r="AX33"/>
  <c r="AX43"/>
  <c r="AX11"/>
  <c r="AX24"/>
  <c r="AW33"/>
  <c r="AW31"/>
  <c r="AW27"/>
  <c r="AW15"/>
  <c r="AW11"/>
  <c r="AN68"/>
  <c r="AW68" s="1"/>
  <c r="AK68"/>
  <c r="AL68" s="1"/>
  <c r="AU68" s="1"/>
  <c r="AN53"/>
  <c r="AW53" s="1"/>
  <c r="AK53"/>
  <c r="AL53" s="1"/>
  <c r="AU53" s="1"/>
  <c r="AN44"/>
  <c r="AW44" s="1"/>
  <c r="AK44"/>
  <c r="AL44" s="1"/>
  <c r="AU44" s="1"/>
  <c r="AN40"/>
  <c r="AW40" s="1"/>
  <c r="AK40"/>
  <c r="AL40" s="1"/>
  <c r="AU40" s="1"/>
  <c r="AN32"/>
  <c r="AW32" s="1"/>
  <c r="AK32"/>
  <c r="AL32" s="1"/>
  <c r="AU32" s="1"/>
  <c r="AN28"/>
  <c r="AW28" s="1"/>
  <c r="AK28"/>
  <c r="AL28" s="1"/>
  <c r="AU28" s="1"/>
  <c r="AN24"/>
  <c r="AW24" s="1"/>
  <c r="AK24"/>
  <c r="AL24" s="1"/>
  <c r="AU24" s="1"/>
  <c r="AN13"/>
  <c r="AW13" s="1"/>
  <c r="AK13"/>
  <c r="AL13" s="1"/>
  <c r="AU13" s="1"/>
  <c r="AX13"/>
  <c r="AX28"/>
  <c r="AX32"/>
  <c r="AX40"/>
  <c r="AX44"/>
  <c r="AX53"/>
  <c r="AX68"/>
  <c r="AK82"/>
  <c r="AL82" s="1"/>
  <c r="AU82" s="1"/>
  <c r="AW55"/>
  <c r="AW69"/>
  <c r="DD91" i="1" l="1"/>
  <c r="DD92"/>
  <c r="U75" i="2"/>
  <c r="T75"/>
  <c r="C160" i="41"/>
  <c r="D160"/>
  <c r="DF90" i="1" l="1"/>
  <c r="DG90"/>
  <c r="DH90"/>
  <c r="DI90"/>
  <c r="DJ90"/>
  <c r="DK90"/>
  <c r="DL90"/>
  <c r="DM90"/>
  <c r="DO90"/>
  <c r="DO91"/>
  <c r="DD90"/>
  <c r="DC90"/>
  <c r="DB90"/>
  <c r="DA90"/>
  <c r="CZ90"/>
  <c r="CY90"/>
  <c r="CX90"/>
  <c r="CW90"/>
  <c r="CV90"/>
  <c r="CU90"/>
  <c r="CT90"/>
  <c r="CS90"/>
  <c r="U33" i="2" l="1"/>
  <c r="T33"/>
  <c r="S33"/>
  <c r="R33"/>
  <c r="U32"/>
  <c r="T32"/>
  <c r="S32"/>
  <c r="R32"/>
  <c r="J141" i="1" l="1"/>
  <c r="J142" s="1"/>
  <c r="I141"/>
  <c r="I142" s="1"/>
  <c r="AP24" l="1"/>
  <c r="AO24"/>
  <c r="AK24"/>
  <c r="AO45" l="1"/>
  <c r="AK45"/>
  <c r="R4" i="2" l="1"/>
  <c r="S4"/>
  <c r="T4"/>
  <c r="U4"/>
  <c r="R5"/>
  <c r="S5"/>
  <c r="T5"/>
  <c r="U5"/>
  <c r="R6"/>
  <c r="S6"/>
  <c r="T6"/>
  <c r="U6"/>
  <c r="R7"/>
  <c r="S7"/>
  <c r="T7"/>
  <c r="U7"/>
  <c r="R8"/>
  <c r="S8"/>
  <c r="T8"/>
  <c r="U8"/>
  <c r="R9"/>
  <c r="S9"/>
  <c r="T9"/>
  <c r="U9"/>
  <c r="R10"/>
  <c r="S10"/>
  <c r="T10"/>
  <c r="U10"/>
  <c r="R11"/>
  <c r="S11"/>
  <c r="T11"/>
  <c r="U11"/>
  <c r="R12"/>
  <c r="S12"/>
  <c r="T12"/>
  <c r="U12"/>
  <c r="R13"/>
  <c r="S13"/>
  <c r="T13"/>
  <c r="U13"/>
  <c r="R14"/>
  <c r="S14"/>
  <c r="T14"/>
  <c r="U14"/>
  <c r="R15"/>
  <c r="S15"/>
  <c r="T15"/>
  <c r="U15"/>
  <c r="R16"/>
  <c r="S16"/>
  <c r="T16"/>
  <c r="U16"/>
  <c r="R17"/>
  <c r="S17"/>
  <c r="T17"/>
  <c r="U17"/>
  <c r="R18"/>
  <c r="S18"/>
  <c r="T18"/>
  <c r="U18"/>
  <c r="R19"/>
  <c r="S19"/>
  <c r="T19"/>
  <c r="U19"/>
  <c r="R20"/>
  <c r="S20"/>
  <c r="T20"/>
  <c r="U20"/>
  <c r="R21"/>
  <c r="S21"/>
  <c r="T21"/>
  <c r="U21"/>
  <c r="R22"/>
  <c r="S22"/>
  <c r="T22"/>
  <c r="U22"/>
  <c r="R23"/>
  <c r="S23"/>
  <c r="T23"/>
  <c r="U23"/>
  <c r="R24"/>
  <c r="S24"/>
  <c r="T24"/>
  <c r="U24"/>
  <c r="R25"/>
  <c r="S25"/>
  <c r="T25"/>
  <c r="U25"/>
  <c r="R26"/>
  <c r="S26"/>
  <c r="T26"/>
  <c r="U26"/>
  <c r="R27"/>
  <c r="S27"/>
  <c r="T27"/>
  <c r="U27"/>
  <c r="R28"/>
  <c r="S28"/>
  <c r="T28"/>
  <c r="U28"/>
  <c r="R29"/>
  <c r="S29"/>
  <c r="T29"/>
  <c r="U29"/>
  <c r="R30"/>
  <c r="S30"/>
  <c r="T30"/>
  <c r="U30"/>
  <c r="R31"/>
  <c r="S31"/>
  <c r="T31"/>
  <c r="U31"/>
  <c r="R34"/>
  <c r="S34"/>
  <c r="T34"/>
  <c r="U34"/>
  <c r="R35"/>
  <c r="S35"/>
  <c r="T35"/>
  <c r="U35"/>
  <c r="R36"/>
  <c r="S36"/>
  <c r="T36"/>
  <c r="U36"/>
  <c r="R37"/>
  <c r="S37"/>
  <c r="T37"/>
  <c r="U37"/>
  <c r="R38"/>
  <c r="S38"/>
  <c r="T38"/>
  <c r="U38"/>
  <c r="R39"/>
  <c r="S39"/>
  <c r="T39"/>
  <c r="U39"/>
  <c r="R40"/>
  <c r="S40"/>
  <c r="T40"/>
  <c r="U40"/>
  <c r="R41"/>
  <c r="S41"/>
  <c r="T41"/>
  <c r="U41"/>
  <c r="R42"/>
  <c r="S42"/>
  <c r="T42"/>
  <c r="U42"/>
  <c r="R43"/>
  <c r="S43"/>
  <c r="T43"/>
  <c r="U43"/>
  <c r="R44"/>
  <c r="S44"/>
  <c r="T44"/>
  <c r="U44"/>
  <c r="R45"/>
  <c r="S45"/>
  <c r="T45"/>
  <c r="U45"/>
  <c r="R46"/>
  <c r="S46"/>
  <c r="T46"/>
  <c r="U46"/>
  <c r="R47"/>
  <c r="S47"/>
  <c r="T47"/>
  <c r="U47"/>
  <c r="R48"/>
  <c r="S48"/>
  <c r="T48"/>
  <c r="U48"/>
  <c r="R49"/>
  <c r="S49"/>
  <c r="T49"/>
  <c r="U49"/>
  <c r="R50"/>
  <c r="S50"/>
  <c r="T50"/>
  <c r="U50"/>
  <c r="R51"/>
  <c r="S51"/>
  <c r="T51"/>
  <c r="U51"/>
  <c r="R52"/>
  <c r="S52"/>
  <c r="T52"/>
  <c r="U52"/>
  <c r="R53"/>
  <c r="S53"/>
  <c r="T53"/>
  <c r="U53"/>
  <c r="R54"/>
  <c r="S54"/>
  <c r="T54"/>
  <c r="U54"/>
  <c r="R55"/>
  <c r="S55"/>
  <c r="T55"/>
  <c r="U55"/>
  <c r="R56"/>
  <c r="S56"/>
  <c r="T56"/>
  <c r="U56"/>
  <c r="R57"/>
  <c r="S57"/>
  <c r="T57"/>
  <c r="U57"/>
  <c r="R58"/>
  <c r="S58"/>
  <c r="T58"/>
  <c r="U58"/>
  <c r="R59"/>
  <c r="S59"/>
  <c r="T59"/>
  <c r="U59"/>
  <c r="R60"/>
  <c r="S60"/>
  <c r="T60"/>
  <c r="U60"/>
  <c r="R61"/>
  <c r="S61"/>
  <c r="T61"/>
  <c r="U61"/>
  <c r="R62"/>
  <c r="S62"/>
  <c r="T62"/>
  <c r="U62"/>
  <c r="R63"/>
  <c r="S63"/>
  <c r="T63"/>
  <c r="U63"/>
  <c r="R64"/>
  <c r="S64"/>
  <c r="T64"/>
  <c r="U64"/>
  <c r="R65"/>
  <c r="S65"/>
  <c r="T65"/>
  <c r="U65"/>
  <c r="R66"/>
  <c r="S66"/>
  <c r="T66"/>
  <c r="U66"/>
  <c r="R67"/>
  <c r="S67"/>
  <c r="T67"/>
  <c r="U67"/>
  <c r="R68"/>
  <c r="S68"/>
  <c r="T68"/>
  <c r="U68"/>
  <c r="R69"/>
  <c r="S69"/>
  <c r="T69"/>
  <c r="U69"/>
  <c r="R70"/>
  <c r="S70"/>
  <c r="T70"/>
  <c r="U70"/>
  <c r="R71"/>
  <c r="S71"/>
  <c r="T71"/>
  <c r="U71"/>
  <c r="R72"/>
  <c r="S72"/>
  <c r="T72"/>
  <c r="U72"/>
  <c r="R73"/>
  <c r="S73"/>
  <c r="T73"/>
  <c r="U73"/>
  <c r="R74"/>
  <c r="S74"/>
  <c r="T74"/>
  <c r="U74"/>
  <c r="R75"/>
  <c r="S75"/>
  <c r="R76"/>
  <c r="S76"/>
  <c r="T76"/>
  <c r="U76"/>
  <c r="R77"/>
  <c r="S77"/>
  <c r="T77"/>
  <c r="U77"/>
  <c r="R78"/>
  <c r="S78"/>
  <c r="T78"/>
  <c r="U78"/>
  <c r="R79"/>
  <c r="S79"/>
  <c r="T79"/>
  <c r="U79"/>
  <c r="R80"/>
  <c r="S80"/>
  <c r="T80"/>
  <c r="U80"/>
  <c r="R81"/>
  <c r="S81"/>
  <c r="T81"/>
  <c r="U81"/>
  <c r="R82"/>
  <c r="S82"/>
  <c r="T82"/>
  <c r="U82"/>
  <c r="H160" i="41"/>
  <c r="H175"/>
  <c r="H178"/>
  <c r="H198"/>
  <c r="H219"/>
  <c r="H231"/>
  <c r="H234"/>
  <c r="H235"/>
  <c r="H236"/>
  <c r="H237"/>
  <c r="H238"/>
  <c r="E160"/>
  <c r="F160"/>
  <c r="G160"/>
  <c r="G161"/>
  <c r="G162"/>
  <c r="G163"/>
  <c r="G164"/>
  <c r="G165"/>
  <c r="G166"/>
  <c r="G167"/>
  <c r="G168"/>
  <c r="G169"/>
  <c r="G170"/>
  <c r="G171"/>
  <c r="G172"/>
  <c r="G173"/>
  <c r="G174"/>
  <c r="C175"/>
  <c r="D175"/>
  <c r="E175"/>
  <c r="F175"/>
  <c r="G175"/>
  <c r="G176"/>
  <c r="G177"/>
  <c r="C178"/>
  <c r="D178"/>
  <c r="E178"/>
  <c r="F178"/>
  <c r="G178"/>
  <c r="G179"/>
  <c r="G180"/>
  <c r="G181"/>
  <c r="G182"/>
  <c r="G183"/>
  <c r="G184"/>
  <c r="G185"/>
  <c r="G186"/>
  <c r="G187"/>
  <c r="G188"/>
  <c r="G189"/>
  <c r="G190"/>
  <c r="G191"/>
  <c r="G192"/>
  <c r="G193"/>
  <c r="G194"/>
  <c r="G195"/>
  <c r="G196"/>
  <c r="G197"/>
  <c r="C198"/>
  <c r="D198"/>
  <c r="E198"/>
  <c r="F198"/>
  <c r="G198"/>
  <c r="G199"/>
  <c r="G200"/>
  <c r="G201"/>
  <c r="G202"/>
  <c r="G203"/>
  <c r="G204"/>
  <c r="G205"/>
  <c r="G206"/>
  <c r="G207"/>
  <c r="G208"/>
  <c r="G209"/>
  <c r="G210"/>
  <c r="G211"/>
  <c r="G212"/>
  <c r="G213"/>
  <c r="G214"/>
  <c r="G215"/>
  <c r="G216"/>
  <c r="G217"/>
  <c r="G218"/>
  <c r="C219"/>
  <c r="D219"/>
  <c r="E219"/>
  <c r="F219"/>
  <c r="G219"/>
  <c r="G220"/>
  <c r="G221"/>
  <c r="G222"/>
  <c r="G223"/>
  <c r="G224"/>
  <c r="G225"/>
  <c r="G226"/>
  <c r="G227"/>
  <c r="G228"/>
  <c r="G229"/>
  <c r="G230"/>
  <c r="C231"/>
  <c r="D231"/>
  <c r="E231"/>
  <c r="F231"/>
  <c r="G231"/>
  <c r="G232"/>
  <c r="G233"/>
  <c r="C234"/>
  <c r="D234"/>
  <c r="E234"/>
  <c r="F234"/>
  <c r="G234"/>
  <c r="C235"/>
  <c r="D235"/>
  <c r="E235"/>
  <c r="F235"/>
  <c r="G235"/>
  <c r="C236"/>
  <c r="D236"/>
  <c r="E236"/>
  <c r="F236"/>
  <c r="G236"/>
  <c r="C237"/>
  <c r="D237"/>
  <c r="E237"/>
  <c r="F237"/>
  <c r="G237"/>
  <c r="C238"/>
  <c r="D238"/>
  <c r="E238"/>
  <c r="F238"/>
  <c r="G238"/>
  <c r="I160"/>
  <c r="J160"/>
  <c r="K160"/>
  <c r="L160"/>
  <c r="M160"/>
  <c r="I175"/>
  <c r="J175"/>
  <c r="K175"/>
  <c r="L175"/>
  <c r="M175"/>
  <c r="I178"/>
  <c r="J178"/>
  <c r="K178"/>
  <c r="L178"/>
  <c r="M178"/>
  <c r="I198"/>
  <c r="J198"/>
  <c r="K198"/>
  <c r="L198"/>
  <c r="M198"/>
  <c r="I219"/>
  <c r="J219"/>
  <c r="K219"/>
  <c r="L219"/>
  <c r="M219"/>
  <c r="I231"/>
  <c r="J231"/>
  <c r="K231"/>
  <c r="L231"/>
  <c r="M231"/>
  <c r="I234"/>
  <c r="J234"/>
  <c r="K234"/>
  <c r="L234"/>
  <c r="M234"/>
  <c r="I235"/>
  <c r="J235"/>
  <c r="K235"/>
  <c r="L235"/>
  <c r="M235"/>
  <c r="I236"/>
  <c r="J236"/>
  <c r="K236"/>
  <c r="L236"/>
  <c r="M236"/>
  <c r="I237"/>
  <c r="J237"/>
  <c r="K237"/>
  <c r="L237"/>
  <c r="M237"/>
  <c r="I238"/>
  <c r="J238"/>
  <c r="K238"/>
  <c r="L238"/>
  <c r="M238"/>
  <c r="U130" l="1"/>
  <c r="U131"/>
  <c r="U129"/>
  <c r="U125"/>
  <c r="U126"/>
  <c r="U127"/>
  <c r="U128"/>
  <c r="U133"/>
  <c r="U134"/>
  <c r="U135"/>
  <c r="U136"/>
  <c r="U137"/>
  <c r="U138"/>
  <c r="U139"/>
  <c r="U140"/>
  <c r="U141"/>
  <c r="U142"/>
  <c r="U143"/>
  <c r="U144"/>
  <c r="U145"/>
  <c r="U146"/>
  <c r="U147"/>
  <c r="U148"/>
  <c r="U149"/>
  <c r="U151"/>
  <c r="U152"/>
  <c r="U153"/>
  <c r="U124"/>
  <c r="D148"/>
  <c r="D144"/>
  <c r="D143"/>
  <c r="D137"/>
  <c r="D136"/>
  <c r="D151"/>
  <c r="D152"/>
  <c r="D153"/>
  <c r="D149"/>
  <c r="D146"/>
  <c r="D147"/>
  <c r="D145"/>
  <c r="D139"/>
  <c r="D140"/>
  <c r="D141"/>
  <c r="D142"/>
  <c r="D138"/>
  <c r="D134"/>
  <c r="D135"/>
  <c r="D133"/>
  <c r="D126"/>
  <c r="D127"/>
  <c r="D128"/>
  <c r="D125"/>
  <c r="D124"/>
  <c r="D130" l="1"/>
  <c r="D129"/>
  <c r="D131"/>
  <c r="P5"/>
  <c r="P6"/>
  <c r="P7"/>
  <c r="P8"/>
  <c r="P9"/>
  <c r="P10"/>
  <c r="P11"/>
  <c r="P12"/>
  <c r="P13"/>
  <c r="P14"/>
  <c r="P15"/>
  <c r="P16"/>
  <c r="P17"/>
  <c r="P18"/>
  <c r="P19"/>
  <c r="P20"/>
  <c r="P21"/>
  <c r="P22"/>
  <c r="P23"/>
  <c r="P24"/>
  <c r="P25"/>
  <c r="P26"/>
  <c r="P27"/>
  <c r="P28"/>
  <c r="P29"/>
  <c r="P30"/>
  <c r="P31"/>
  <c r="P32"/>
  <c r="P33"/>
  <c r="P34"/>
  <c r="P35"/>
  <c r="P36"/>
  <c r="P37"/>
  <c r="P38"/>
  <c r="P39"/>
  <c r="P40"/>
  <c r="P41"/>
  <c r="P42"/>
  <c r="P43"/>
  <c r="P44"/>
  <c r="P45"/>
  <c r="P46"/>
  <c r="P47"/>
  <c r="P48"/>
  <c r="P49"/>
  <c r="P50"/>
  <c r="P51"/>
  <c r="P52"/>
  <c r="P53"/>
  <c r="P54"/>
  <c r="P55"/>
  <c r="P56"/>
  <c r="P57"/>
  <c r="P58"/>
  <c r="P59"/>
  <c r="P60"/>
  <c r="P61"/>
  <c r="P62"/>
  <c r="P63"/>
  <c r="P64"/>
  <c r="P65"/>
  <c r="P66"/>
  <c r="P67"/>
  <c r="P68"/>
  <c r="P69"/>
  <c r="P70"/>
  <c r="P71"/>
  <c r="P72"/>
  <c r="P73"/>
  <c r="P74"/>
  <c r="P75"/>
  <c r="P76"/>
  <c r="P77"/>
  <c r="P78"/>
  <c r="P79"/>
  <c r="P80"/>
  <c r="P81"/>
  <c r="P82"/>
  <c r="P83"/>
  <c r="P84"/>
  <c r="P85"/>
  <c r="P86"/>
  <c r="P87"/>
  <c r="P88"/>
  <c r="P89"/>
  <c r="P90"/>
  <c r="P91"/>
  <c r="P92"/>
  <c r="P93"/>
  <c r="P94"/>
  <c r="P95"/>
  <c r="P96"/>
  <c r="P97"/>
  <c r="P98"/>
  <c r="P99"/>
  <c r="P100"/>
  <c r="P101"/>
  <c r="P102"/>
  <c r="P103"/>
  <c r="P104"/>
  <c r="P105"/>
  <c r="P106"/>
  <c r="P107"/>
  <c r="P108"/>
  <c r="P109"/>
  <c r="P110"/>
  <c r="P111"/>
  <c r="P112"/>
  <c r="P113"/>
  <c r="P114"/>
  <c r="P115"/>
  <c r="P116"/>
  <c r="P117"/>
  <c r="P118"/>
  <c r="P119"/>
  <c r="P4"/>
  <c r="W5"/>
  <c r="W6"/>
  <c r="W7"/>
  <c r="W8"/>
  <c r="W9"/>
  <c r="W10"/>
  <c r="W11"/>
  <c r="W12"/>
  <c r="W13"/>
  <c r="W14"/>
  <c r="W15"/>
  <c r="W16"/>
  <c r="W17"/>
  <c r="W18"/>
  <c r="W19"/>
  <c r="W20"/>
  <c r="W21"/>
  <c r="W22"/>
  <c r="W23"/>
  <c r="W24"/>
  <c r="W25"/>
  <c r="W26"/>
  <c r="W27"/>
  <c r="W28"/>
  <c r="W29"/>
  <c r="W30"/>
  <c r="W31"/>
  <c r="W32"/>
  <c r="W33"/>
  <c r="W34"/>
  <c r="W35"/>
  <c r="W36"/>
  <c r="W37"/>
  <c r="W38"/>
  <c r="W39"/>
  <c r="W40"/>
  <c r="W41"/>
  <c r="W42"/>
  <c r="W43"/>
  <c r="W44"/>
  <c r="W45"/>
  <c r="W46"/>
  <c r="W47"/>
  <c r="W48"/>
  <c r="W49"/>
  <c r="W50"/>
  <c r="W51"/>
  <c r="W52"/>
  <c r="W53"/>
  <c r="W54"/>
  <c r="W55"/>
  <c r="W56"/>
  <c r="W57"/>
  <c r="W58"/>
  <c r="W59"/>
  <c r="W60"/>
  <c r="W61"/>
  <c r="W62"/>
  <c r="W63"/>
  <c r="W64"/>
  <c r="W65"/>
  <c r="W66"/>
  <c r="W67"/>
  <c r="W68"/>
  <c r="W69"/>
  <c r="W70"/>
  <c r="W71"/>
  <c r="W72"/>
  <c r="W73"/>
  <c r="W74"/>
  <c r="W75"/>
  <c r="W76"/>
  <c r="W77"/>
  <c r="W78"/>
  <c r="W79"/>
  <c r="W80"/>
  <c r="W81"/>
  <c r="W82"/>
  <c r="W83"/>
  <c r="W84"/>
  <c r="W85"/>
  <c r="W86"/>
  <c r="W87"/>
  <c r="W88"/>
  <c r="W89"/>
  <c r="W90"/>
  <c r="W91"/>
  <c r="W92"/>
  <c r="W93"/>
  <c r="W94"/>
  <c r="W95"/>
  <c r="W96"/>
  <c r="W97"/>
  <c r="W98"/>
  <c r="W99"/>
  <c r="W100"/>
  <c r="W101"/>
  <c r="W102"/>
  <c r="W103"/>
  <c r="W104"/>
  <c r="W105"/>
  <c r="W106"/>
  <c r="W107"/>
  <c r="W108"/>
  <c r="W109"/>
  <c r="W110"/>
  <c r="W111"/>
  <c r="W112"/>
  <c r="W113"/>
  <c r="W114"/>
  <c r="W115"/>
  <c r="W116"/>
  <c r="W117"/>
  <c r="W118"/>
  <c r="W119"/>
  <c r="W4"/>
  <c r="AD5"/>
  <c r="AD6"/>
  <c r="AD7"/>
  <c r="AD8"/>
  <c r="AD9"/>
  <c r="AD10"/>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D48"/>
  <c r="AD49"/>
  <c r="AD50"/>
  <c r="AD51"/>
  <c r="AD52"/>
  <c r="AD53"/>
  <c r="AD54"/>
  <c r="AD55"/>
  <c r="AD56"/>
  <c r="AD57"/>
  <c r="AD58"/>
  <c r="AD59"/>
  <c r="AD60"/>
  <c r="AD61"/>
  <c r="AD62"/>
  <c r="AD63"/>
  <c r="AD64"/>
  <c r="AD65"/>
  <c r="AD66"/>
  <c r="AD67"/>
  <c r="AD68"/>
  <c r="AD69"/>
  <c r="AD70"/>
  <c r="AD71"/>
  <c r="AD72"/>
  <c r="AD73"/>
  <c r="AD74"/>
  <c r="AD75"/>
  <c r="AD76"/>
  <c r="AD77"/>
  <c r="AD78"/>
  <c r="AD79"/>
  <c r="AD80"/>
  <c r="AD81"/>
  <c r="AD82"/>
  <c r="AD83"/>
  <c r="AD84"/>
  <c r="AD85"/>
  <c r="AD86"/>
  <c r="AD87"/>
  <c r="AD88"/>
  <c r="AD89"/>
  <c r="AD90"/>
  <c r="AD91"/>
  <c r="AD92"/>
  <c r="AD93"/>
  <c r="AD94"/>
  <c r="AD95"/>
  <c r="AD96"/>
  <c r="AD97"/>
  <c r="AD98"/>
  <c r="AD99"/>
  <c r="AD100"/>
  <c r="AD101"/>
  <c r="AD102"/>
  <c r="AD103"/>
  <c r="AD104"/>
  <c r="AD105"/>
  <c r="AD106"/>
  <c r="AD107"/>
  <c r="AD108"/>
  <c r="AD109"/>
  <c r="AD110"/>
  <c r="AD111"/>
  <c r="AD112"/>
  <c r="AD113"/>
  <c r="AD114"/>
  <c r="AD115"/>
  <c r="AD116"/>
  <c r="AD117"/>
  <c r="AD118"/>
  <c r="AD119"/>
  <c r="AD4"/>
  <c r="AK114"/>
  <c r="AK115"/>
  <c r="AK116"/>
  <c r="AK117"/>
  <c r="AK118"/>
  <c r="AK119"/>
  <c r="AK113"/>
  <c r="AK112"/>
  <c r="AK111"/>
  <c r="AK110"/>
  <c r="AK109"/>
  <c r="AK108"/>
  <c r="AK107"/>
  <c r="AK106"/>
  <c r="AK105"/>
  <c r="AK104"/>
  <c r="AK103"/>
  <c r="AK102"/>
  <c r="AK101"/>
  <c r="AK100"/>
  <c r="AK99"/>
  <c r="AK98"/>
  <c r="AK97"/>
  <c r="AK96"/>
  <c r="AK95"/>
  <c r="AK94"/>
  <c r="AK93"/>
  <c r="AK92"/>
  <c r="AK91"/>
  <c r="AK90"/>
  <c r="AK89"/>
  <c r="AK88"/>
  <c r="AK87"/>
  <c r="AK86"/>
  <c r="AK85"/>
  <c r="AK84"/>
  <c r="AK83"/>
  <c r="AK82"/>
  <c r="AK81"/>
  <c r="AK80"/>
  <c r="AK79"/>
  <c r="AK78"/>
  <c r="AK77"/>
  <c r="AK76"/>
  <c r="AK75"/>
  <c r="AK74"/>
  <c r="AK73"/>
  <c r="AK72"/>
  <c r="AK71"/>
  <c r="AK70"/>
  <c r="AK69"/>
  <c r="AK68"/>
  <c r="AK67"/>
  <c r="AK66"/>
  <c r="AK65"/>
  <c r="AK64"/>
  <c r="AK63"/>
  <c r="AK62"/>
  <c r="AK61"/>
  <c r="AK60"/>
  <c r="AK59"/>
  <c r="AK58"/>
  <c r="AK57"/>
  <c r="AK56"/>
  <c r="AK55"/>
  <c r="AK54"/>
  <c r="AK53"/>
  <c r="AK52"/>
  <c r="AK51"/>
  <c r="AK50"/>
  <c r="AK49"/>
  <c r="AK48"/>
  <c r="AK47"/>
  <c r="AK46"/>
  <c r="AK45"/>
  <c r="AK44"/>
  <c r="AK43"/>
  <c r="AK42"/>
  <c r="AK41"/>
  <c r="AK9"/>
  <c r="AK10"/>
  <c r="AK11"/>
  <c r="AK12"/>
  <c r="AK13"/>
  <c r="AK14"/>
  <c r="AK15"/>
  <c r="AK16"/>
  <c r="AK17"/>
  <c r="AK18"/>
  <c r="AK19"/>
  <c r="AK20"/>
  <c r="AK21"/>
  <c r="AK22"/>
  <c r="AK23"/>
  <c r="AK24"/>
  <c r="AK25"/>
  <c r="AK26"/>
  <c r="AK27"/>
  <c r="AK28"/>
  <c r="AK29"/>
  <c r="AK30"/>
  <c r="AK31"/>
  <c r="AK32"/>
  <c r="AK33"/>
  <c r="AK34"/>
  <c r="AK35"/>
  <c r="AK36"/>
  <c r="AK37"/>
  <c r="AK38"/>
  <c r="AK39"/>
  <c r="AK40"/>
  <c r="AK8"/>
  <c r="AK7"/>
  <c r="AK5"/>
  <c r="AK6"/>
  <c r="AK4"/>
  <c r="I111" i="26"/>
  <c r="I109"/>
  <c r="I111" i="17"/>
  <c r="I109"/>
  <c r="S21" s="1"/>
  <c r="H119" i="41" l="1"/>
  <c r="J119" s="1"/>
  <c r="K119"/>
  <c r="O119"/>
  <c r="Q119" s="1"/>
  <c r="R119"/>
  <c r="V119"/>
  <c r="X119" s="1"/>
  <c r="Y119"/>
  <c r="AC119"/>
  <c r="AE119" s="1"/>
  <c r="AF119"/>
  <c r="AJ119"/>
  <c r="AL119" s="1"/>
  <c r="AM119"/>
  <c r="H112"/>
  <c r="J112" s="1"/>
  <c r="K112"/>
  <c r="O112"/>
  <c r="Q112" s="1"/>
  <c r="R112"/>
  <c r="V112"/>
  <c r="X112" s="1"/>
  <c r="Y112"/>
  <c r="AC112"/>
  <c r="AE112" s="1"/>
  <c r="AF112"/>
  <c r="AJ112"/>
  <c r="AL112" s="1"/>
  <c r="AM112"/>
  <c r="H105"/>
  <c r="J105" s="1"/>
  <c r="K105"/>
  <c r="O105"/>
  <c r="Q105" s="1"/>
  <c r="R105"/>
  <c r="V105"/>
  <c r="X105" s="1"/>
  <c r="Y105"/>
  <c r="AC105"/>
  <c r="AE105" s="1"/>
  <c r="AF105"/>
  <c r="AJ105"/>
  <c r="AL105" s="1"/>
  <c r="AM105"/>
  <c r="H104"/>
  <c r="J104" s="1"/>
  <c r="K104"/>
  <c r="O104"/>
  <c r="Q104" s="1"/>
  <c r="R104"/>
  <c r="V104"/>
  <c r="X104" s="1"/>
  <c r="Y104"/>
  <c r="AC104"/>
  <c r="AE104" s="1"/>
  <c r="AF104"/>
  <c r="AJ104"/>
  <c r="AL104" s="1"/>
  <c r="AM104"/>
  <c r="H102"/>
  <c r="J102" s="1"/>
  <c r="K102"/>
  <c r="O102"/>
  <c r="Q102" s="1"/>
  <c r="R102"/>
  <c r="V102"/>
  <c r="X102" s="1"/>
  <c r="Y102"/>
  <c r="AC102"/>
  <c r="AE102" s="1"/>
  <c r="AF102"/>
  <c r="AJ102"/>
  <c r="AL102" s="1"/>
  <c r="AM102"/>
  <c r="H96"/>
  <c r="J96" s="1"/>
  <c r="K96"/>
  <c r="O96"/>
  <c r="Q96" s="1"/>
  <c r="R96"/>
  <c r="V96"/>
  <c r="X96" s="1"/>
  <c r="Y96"/>
  <c r="AC96"/>
  <c r="AE96" s="1"/>
  <c r="AF96"/>
  <c r="AJ96"/>
  <c r="AL96" s="1"/>
  <c r="AM96"/>
  <c r="H88"/>
  <c r="J88" s="1"/>
  <c r="K88"/>
  <c r="O88"/>
  <c r="Q88" s="1"/>
  <c r="R88"/>
  <c r="V88"/>
  <c r="X88" s="1"/>
  <c r="Y88"/>
  <c r="AC88"/>
  <c r="AE88" s="1"/>
  <c r="AF88"/>
  <c r="AJ88"/>
  <c r="AL88" s="1"/>
  <c r="AM88"/>
  <c r="H64"/>
  <c r="J64" s="1"/>
  <c r="K64"/>
  <c r="O64"/>
  <c r="Q64" s="1"/>
  <c r="R64"/>
  <c r="V64"/>
  <c r="X64" s="1"/>
  <c r="Y64"/>
  <c r="AC64"/>
  <c r="AE64" s="1"/>
  <c r="AF64"/>
  <c r="AJ64"/>
  <c r="AL64" s="1"/>
  <c r="AM64"/>
  <c r="H52"/>
  <c r="J52" s="1"/>
  <c r="K52"/>
  <c r="O52"/>
  <c r="Q52" s="1"/>
  <c r="R52"/>
  <c r="V52"/>
  <c r="X52" s="1"/>
  <c r="Y52"/>
  <c r="AC52"/>
  <c r="AE52" s="1"/>
  <c r="AF52"/>
  <c r="AJ52"/>
  <c r="AL52" s="1"/>
  <c r="AM52"/>
  <c r="H46"/>
  <c r="J46" s="1"/>
  <c r="K46"/>
  <c r="O46"/>
  <c r="Q46" s="1"/>
  <c r="R46"/>
  <c r="V46"/>
  <c r="X46" s="1"/>
  <c r="Y46"/>
  <c r="AC46"/>
  <c r="AE46" s="1"/>
  <c r="AF46"/>
  <c r="AJ46"/>
  <c r="AL46" s="1"/>
  <c r="AM46"/>
  <c r="H44"/>
  <c r="J44" s="1"/>
  <c r="K44"/>
  <c r="O44"/>
  <c r="Q44" s="1"/>
  <c r="R44"/>
  <c r="V44"/>
  <c r="X44" s="1"/>
  <c r="Y44"/>
  <c r="AC44"/>
  <c r="AE44" s="1"/>
  <c r="AF44"/>
  <c r="AJ44"/>
  <c r="AL44" s="1"/>
  <c r="AM44"/>
  <c r="H42"/>
  <c r="J42" s="1"/>
  <c r="K42"/>
  <c r="O42"/>
  <c r="Q42" s="1"/>
  <c r="R42"/>
  <c r="V42"/>
  <c r="X42" s="1"/>
  <c r="Y42"/>
  <c r="AC42"/>
  <c r="AE42" s="1"/>
  <c r="AF42"/>
  <c r="AJ42"/>
  <c r="AL42" s="1"/>
  <c r="AM42"/>
  <c r="H41"/>
  <c r="J41" s="1"/>
  <c r="K41"/>
  <c r="O41"/>
  <c r="Q41" s="1"/>
  <c r="R41"/>
  <c r="V41"/>
  <c r="X41" s="1"/>
  <c r="Y41"/>
  <c r="AC41"/>
  <c r="AE41" s="1"/>
  <c r="AF41"/>
  <c r="AJ41"/>
  <c r="AL41" s="1"/>
  <c r="AM41"/>
  <c r="H40"/>
  <c r="J40" s="1"/>
  <c r="K40"/>
  <c r="O40"/>
  <c r="Q40" s="1"/>
  <c r="R40"/>
  <c r="V40"/>
  <c r="X40" s="1"/>
  <c r="Y40"/>
  <c r="AC40"/>
  <c r="AE40" s="1"/>
  <c r="AF40"/>
  <c r="AJ40"/>
  <c r="AL40" s="1"/>
  <c r="AM40"/>
  <c r="H7"/>
  <c r="J7" s="1"/>
  <c r="K7"/>
  <c r="O7"/>
  <c r="Q7" s="1"/>
  <c r="R7"/>
  <c r="V7"/>
  <c r="X7" s="1"/>
  <c r="Y7"/>
  <c r="AC7"/>
  <c r="AE7" s="1"/>
  <c r="AF7"/>
  <c r="AJ7"/>
  <c r="AL7" s="1"/>
  <c r="AM7"/>
  <c r="H6"/>
  <c r="J6" s="1"/>
  <c r="K6"/>
  <c r="O6"/>
  <c r="Q6" s="1"/>
  <c r="R6"/>
  <c r="V6"/>
  <c r="X6" s="1"/>
  <c r="Y6"/>
  <c r="AC6"/>
  <c r="AE6" s="1"/>
  <c r="AF6"/>
  <c r="AJ6"/>
  <c r="AL6" s="1"/>
  <c r="AM6"/>
  <c r="AJ107"/>
  <c r="AL107" s="1"/>
  <c r="AM107"/>
  <c r="AJ108"/>
  <c r="AL108" s="1"/>
  <c r="AM108"/>
  <c r="AJ109"/>
  <c r="AL109" s="1"/>
  <c r="AM109"/>
  <c r="AJ110"/>
  <c r="AL110" s="1"/>
  <c r="AM110"/>
  <c r="AJ43"/>
  <c r="AL43" s="1"/>
  <c r="AM43"/>
  <c r="AJ47"/>
  <c r="AL47" s="1"/>
  <c r="AM47"/>
  <c r="AJ48"/>
  <c r="AL48" s="1"/>
  <c r="AM48"/>
  <c r="AJ49"/>
  <c r="AL49" s="1"/>
  <c r="AM49"/>
  <c r="AJ50"/>
  <c r="AL50" s="1"/>
  <c r="AM50"/>
  <c r="AJ51"/>
  <c r="AL51" s="1"/>
  <c r="AM51"/>
  <c r="AJ4"/>
  <c r="AL4" s="1"/>
  <c r="AM4"/>
  <c r="AJ5"/>
  <c r="AL5" s="1"/>
  <c r="AM5"/>
  <c r="AJ89"/>
  <c r="AL89" s="1"/>
  <c r="AM89"/>
  <c r="AJ90"/>
  <c r="AL90" s="1"/>
  <c r="AM90"/>
  <c r="AJ91"/>
  <c r="AL91" s="1"/>
  <c r="AM91"/>
  <c r="AJ92"/>
  <c r="AL92" s="1"/>
  <c r="AM92"/>
  <c r="AJ93"/>
  <c r="AL93" s="1"/>
  <c r="AM93"/>
  <c r="AJ65"/>
  <c r="AL65" s="1"/>
  <c r="AM65"/>
  <c r="AJ66"/>
  <c r="AL66" s="1"/>
  <c r="AM66"/>
  <c r="AJ67"/>
  <c r="AL67" s="1"/>
  <c r="AM67"/>
  <c r="AJ68"/>
  <c r="AL68" s="1"/>
  <c r="AM68"/>
  <c r="AJ69"/>
  <c r="AL69" s="1"/>
  <c r="AM69"/>
  <c r="AJ70"/>
  <c r="AL70" s="1"/>
  <c r="AM70"/>
  <c r="AJ71"/>
  <c r="AL71" s="1"/>
  <c r="AM71"/>
  <c r="AJ72"/>
  <c r="AL72" s="1"/>
  <c r="AM72"/>
  <c r="AJ73"/>
  <c r="AL73" s="1"/>
  <c r="AM73"/>
  <c r="AJ74"/>
  <c r="AL74" s="1"/>
  <c r="AM74"/>
  <c r="AJ75"/>
  <c r="AL75" s="1"/>
  <c r="AM75"/>
  <c r="AJ8"/>
  <c r="AL8" s="1"/>
  <c r="AM8"/>
  <c r="AJ9"/>
  <c r="AL9" s="1"/>
  <c r="AM9"/>
  <c r="AJ10"/>
  <c r="AL10" s="1"/>
  <c r="AM10"/>
  <c r="AJ53"/>
  <c r="AL53" s="1"/>
  <c r="AM53"/>
  <c r="AJ54"/>
  <c r="AL54" s="1"/>
  <c r="AM54"/>
  <c r="AJ55"/>
  <c r="AL55" s="1"/>
  <c r="AM55"/>
  <c r="AJ56"/>
  <c r="AL56" s="1"/>
  <c r="AM56"/>
  <c r="AJ57"/>
  <c r="AL57" s="1"/>
  <c r="AM57"/>
  <c r="AJ58"/>
  <c r="AL58" s="1"/>
  <c r="AM58"/>
  <c r="AJ59"/>
  <c r="AL59" s="1"/>
  <c r="AM59"/>
  <c r="AJ60"/>
  <c r="AL60" s="1"/>
  <c r="AM60"/>
  <c r="AJ61"/>
  <c r="AL61" s="1"/>
  <c r="AM61"/>
  <c r="AJ62"/>
  <c r="AL62" s="1"/>
  <c r="AM62"/>
  <c r="AJ11"/>
  <c r="AL11" s="1"/>
  <c r="AM11"/>
  <c r="AJ12"/>
  <c r="AL12" s="1"/>
  <c r="AM12"/>
  <c r="AJ13"/>
  <c r="AL13" s="1"/>
  <c r="AM13"/>
  <c r="AJ14"/>
  <c r="AL14" s="1"/>
  <c r="AM14"/>
  <c r="AJ15"/>
  <c r="AL15" s="1"/>
  <c r="AM15"/>
  <c r="AJ113"/>
  <c r="AL113" s="1"/>
  <c r="AM113"/>
  <c r="AJ114"/>
  <c r="AL114" s="1"/>
  <c r="AM114"/>
  <c r="AJ115"/>
  <c r="AL115" s="1"/>
  <c r="AM115"/>
  <c r="AJ116"/>
  <c r="AL116" s="1"/>
  <c r="AM116"/>
  <c r="AJ117"/>
  <c r="AL117" s="1"/>
  <c r="AM117"/>
  <c r="AJ16"/>
  <c r="AL16" s="1"/>
  <c r="AM16"/>
  <c r="AJ17"/>
  <c r="AL17" s="1"/>
  <c r="AM17"/>
  <c r="AJ18"/>
  <c r="AL18" s="1"/>
  <c r="AM18"/>
  <c r="AJ94"/>
  <c r="AL94" s="1"/>
  <c r="AM94"/>
  <c r="AJ95"/>
  <c r="AL95" s="1"/>
  <c r="AM95"/>
  <c r="AJ97"/>
  <c r="AL97" s="1"/>
  <c r="AM97"/>
  <c r="AJ98"/>
  <c r="AL98" s="1"/>
  <c r="AM98"/>
  <c r="AJ103"/>
  <c r="AL103" s="1"/>
  <c r="AM103"/>
  <c r="AJ19"/>
  <c r="AL19" s="1"/>
  <c r="AM19"/>
  <c r="AJ118"/>
  <c r="AL118" s="1"/>
  <c r="AM118"/>
  <c r="AJ20"/>
  <c r="AL20" s="1"/>
  <c r="AM20"/>
  <c r="AJ21"/>
  <c r="AL21" s="1"/>
  <c r="AM21"/>
  <c r="AJ22"/>
  <c r="AL22" s="1"/>
  <c r="AM22"/>
  <c r="AJ23"/>
  <c r="AL23" s="1"/>
  <c r="AM23"/>
  <c r="AJ24"/>
  <c r="AL24" s="1"/>
  <c r="AM24"/>
  <c r="AJ25"/>
  <c r="AL25" s="1"/>
  <c r="AM25"/>
  <c r="AJ26"/>
  <c r="AL26" s="1"/>
  <c r="AM26"/>
  <c r="AJ27"/>
  <c r="AL27" s="1"/>
  <c r="AM27"/>
  <c r="AJ28"/>
  <c r="AL28" s="1"/>
  <c r="AM28"/>
  <c r="AJ29"/>
  <c r="AL29" s="1"/>
  <c r="AM29"/>
  <c r="AJ30"/>
  <c r="AL30" s="1"/>
  <c r="AM30"/>
  <c r="AJ31"/>
  <c r="AL31" s="1"/>
  <c r="AM31"/>
  <c r="AJ32"/>
  <c r="AL32" s="1"/>
  <c r="AM32"/>
  <c r="AJ33"/>
  <c r="AL33" s="1"/>
  <c r="AM33"/>
  <c r="AJ34"/>
  <c r="AL34" s="1"/>
  <c r="AM34"/>
  <c r="AJ35"/>
  <c r="AL35" s="1"/>
  <c r="AM35"/>
  <c r="AJ36"/>
  <c r="AL36" s="1"/>
  <c r="AM36"/>
  <c r="AJ37"/>
  <c r="AL37" s="1"/>
  <c r="AM37"/>
  <c r="AJ76"/>
  <c r="AL76" s="1"/>
  <c r="AM76"/>
  <c r="AJ77"/>
  <c r="AL77" s="1"/>
  <c r="AM77"/>
  <c r="AJ78"/>
  <c r="AL78" s="1"/>
  <c r="AM78"/>
  <c r="AJ79"/>
  <c r="AL79" s="1"/>
  <c r="AM79"/>
  <c r="AJ80"/>
  <c r="AL80" s="1"/>
  <c r="AM80"/>
  <c r="AJ81"/>
  <c r="AL81" s="1"/>
  <c r="AM81"/>
  <c r="AJ99"/>
  <c r="AL99" s="1"/>
  <c r="AM99"/>
  <c r="AJ100"/>
  <c r="AL100" s="1"/>
  <c r="AM100"/>
  <c r="AJ101"/>
  <c r="AL101" s="1"/>
  <c r="AM101"/>
  <c r="AJ82"/>
  <c r="AL82" s="1"/>
  <c r="AM82"/>
  <c r="AJ83"/>
  <c r="AL83" s="1"/>
  <c r="AM83"/>
  <c r="AJ84"/>
  <c r="AL84" s="1"/>
  <c r="AM84"/>
  <c r="AJ85"/>
  <c r="AL85" s="1"/>
  <c r="AM85"/>
  <c r="AJ86"/>
  <c r="AL86" s="1"/>
  <c r="AM86"/>
  <c r="AJ87"/>
  <c r="AL87" s="1"/>
  <c r="AM87"/>
  <c r="AJ45"/>
  <c r="AL45" s="1"/>
  <c r="AM45"/>
  <c r="AJ111"/>
  <c r="AL111" s="1"/>
  <c r="AM111"/>
  <c r="AJ63"/>
  <c r="AL63" s="1"/>
  <c r="AM63"/>
  <c r="AJ38"/>
  <c r="AL38" s="1"/>
  <c r="AM38"/>
  <c r="AJ39"/>
  <c r="AL39" s="1"/>
  <c r="AM39"/>
  <c r="AM106"/>
  <c r="AN106" s="1"/>
  <c r="AO106" s="1"/>
  <c r="AJ106"/>
  <c r="AL106" s="1"/>
  <c r="AC107"/>
  <c r="AE107" s="1"/>
  <c r="AF107"/>
  <c r="AC108"/>
  <c r="AE108" s="1"/>
  <c r="AF108"/>
  <c r="AC109"/>
  <c r="AE109" s="1"/>
  <c r="AF109"/>
  <c r="AC110"/>
  <c r="AE110" s="1"/>
  <c r="AF110"/>
  <c r="AC43"/>
  <c r="AE43" s="1"/>
  <c r="AF43"/>
  <c r="AC47"/>
  <c r="AE47" s="1"/>
  <c r="AF47"/>
  <c r="AC48"/>
  <c r="AE48" s="1"/>
  <c r="AF48"/>
  <c r="AC49"/>
  <c r="AE49" s="1"/>
  <c r="AF49"/>
  <c r="AC50"/>
  <c r="AE50" s="1"/>
  <c r="AF50"/>
  <c r="AC51"/>
  <c r="AE51" s="1"/>
  <c r="AF51"/>
  <c r="AC4"/>
  <c r="AE4" s="1"/>
  <c r="AF4"/>
  <c r="AC5"/>
  <c r="AE5" s="1"/>
  <c r="AF5"/>
  <c r="AC89"/>
  <c r="AE89" s="1"/>
  <c r="AF89"/>
  <c r="AC90"/>
  <c r="AE90" s="1"/>
  <c r="AF90"/>
  <c r="AC91"/>
  <c r="AE91" s="1"/>
  <c r="AF91"/>
  <c r="AC92"/>
  <c r="AE92" s="1"/>
  <c r="AF92"/>
  <c r="AC93"/>
  <c r="AE93" s="1"/>
  <c r="AF93"/>
  <c r="AC65"/>
  <c r="AE65" s="1"/>
  <c r="AF65"/>
  <c r="AC66"/>
  <c r="AE66" s="1"/>
  <c r="AF66"/>
  <c r="AC67"/>
  <c r="AE67" s="1"/>
  <c r="AF67"/>
  <c r="AC68"/>
  <c r="AE68" s="1"/>
  <c r="AF68"/>
  <c r="AC69"/>
  <c r="AE69" s="1"/>
  <c r="AF69"/>
  <c r="AC70"/>
  <c r="AE70" s="1"/>
  <c r="AF70"/>
  <c r="AC71"/>
  <c r="AE71" s="1"/>
  <c r="AF71"/>
  <c r="AC72"/>
  <c r="AE72" s="1"/>
  <c r="AF72"/>
  <c r="AC73"/>
  <c r="AE73" s="1"/>
  <c r="AF73"/>
  <c r="AC74"/>
  <c r="AE74" s="1"/>
  <c r="AF74"/>
  <c r="AC75"/>
  <c r="AE75" s="1"/>
  <c r="AF75"/>
  <c r="AC8"/>
  <c r="AE8" s="1"/>
  <c r="AF8"/>
  <c r="AC9"/>
  <c r="AE9" s="1"/>
  <c r="AF9"/>
  <c r="AC10"/>
  <c r="AE10" s="1"/>
  <c r="AF10"/>
  <c r="AC53"/>
  <c r="AE53" s="1"/>
  <c r="AF53"/>
  <c r="AC54"/>
  <c r="AE54" s="1"/>
  <c r="AF54"/>
  <c r="AC55"/>
  <c r="AE55" s="1"/>
  <c r="AF55"/>
  <c r="AC56"/>
  <c r="AE56" s="1"/>
  <c r="AF56"/>
  <c r="AC57"/>
  <c r="AE57" s="1"/>
  <c r="AF57"/>
  <c r="AC58"/>
  <c r="AE58" s="1"/>
  <c r="AF58"/>
  <c r="AC59"/>
  <c r="AE59" s="1"/>
  <c r="AF59"/>
  <c r="AC60"/>
  <c r="AE60" s="1"/>
  <c r="AF60"/>
  <c r="AC61"/>
  <c r="AE61" s="1"/>
  <c r="AF61"/>
  <c r="AC62"/>
  <c r="AE62" s="1"/>
  <c r="AF62"/>
  <c r="AC11"/>
  <c r="AE11" s="1"/>
  <c r="AF11"/>
  <c r="AC12"/>
  <c r="AE12" s="1"/>
  <c r="AF12"/>
  <c r="AC13"/>
  <c r="AE13" s="1"/>
  <c r="AF13"/>
  <c r="AC14"/>
  <c r="AE14" s="1"/>
  <c r="AF14"/>
  <c r="AC15"/>
  <c r="AE15" s="1"/>
  <c r="AF15"/>
  <c r="AC113"/>
  <c r="AE113" s="1"/>
  <c r="AF113"/>
  <c r="AC114"/>
  <c r="AE114" s="1"/>
  <c r="AF114"/>
  <c r="AC115"/>
  <c r="AE115" s="1"/>
  <c r="AF115"/>
  <c r="AC116"/>
  <c r="AE116" s="1"/>
  <c r="AF116"/>
  <c r="AC117"/>
  <c r="AE117" s="1"/>
  <c r="AF117"/>
  <c r="AC16"/>
  <c r="AE16" s="1"/>
  <c r="AF16"/>
  <c r="AC17"/>
  <c r="AE17" s="1"/>
  <c r="AF17"/>
  <c r="AC18"/>
  <c r="AE18" s="1"/>
  <c r="AF18"/>
  <c r="AC94"/>
  <c r="AE94" s="1"/>
  <c r="AF94"/>
  <c r="AC95"/>
  <c r="AE95" s="1"/>
  <c r="AF95"/>
  <c r="AC97"/>
  <c r="AE97" s="1"/>
  <c r="AF97"/>
  <c r="AC98"/>
  <c r="AE98" s="1"/>
  <c r="AF98"/>
  <c r="AC103"/>
  <c r="AE103" s="1"/>
  <c r="AF103"/>
  <c r="AC19"/>
  <c r="AE19" s="1"/>
  <c r="AF19"/>
  <c r="AC118"/>
  <c r="AE118" s="1"/>
  <c r="AF118"/>
  <c r="AC20"/>
  <c r="AE20" s="1"/>
  <c r="AF20"/>
  <c r="AC21"/>
  <c r="AE21" s="1"/>
  <c r="AF21"/>
  <c r="AC22"/>
  <c r="AE22" s="1"/>
  <c r="AF22"/>
  <c r="AC23"/>
  <c r="AE23" s="1"/>
  <c r="AF23"/>
  <c r="AC24"/>
  <c r="AE24" s="1"/>
  <c r="AF24"/>
  <c r="AC25"/>
  <c r="AE25" s="1"/>
  <c r="AF25"/>
  <c r="AC26"/>
  <c r="AE26" s="1"/>
  <c r="AF26"/>
  <c r="AC27"/>
  <c r="AE27" s="1"/>
  <c r="AF27"/>
  <c r="AC28"/>
  <c r="AE28" s="1"/>
  <c r="AF28"/>
  <c r="AC29"/>
  <c r="AE29" s="1"/>
  <c r="AF29"/>
  <c r="AC30"/>
  <c r="AE30" s="1"/>
  <c r="AF30"/>
  <c r="AC31"/>
  <c r="AE31" s="1"/>
  <c r="AF31"/>
  <c r="AC32"/>
  <c r="AE32" s="1"/>
  <c r="AF32"/>
  <c r="AC33"/>
  <c r="AE33" s="1"/>
  <c r="AF33"/>
  <c r="AC34"/>
  <c r="AE34" s="1"/>
  <c r="AF34"/>
  <c r="AC35"/>
  <c r="AE35" s="1"/>
  <c r="AF35"/>
  <c r="AC36"/>
  <c r="AE36" s="1"/>
  <c r="AF36"/>
  <c r="AC37"/>
  <c r="AE37" s="1"/>
  <c r="AF37"/>
  <c r="AC76"/>
  <c r="AE76" s="1"/>
  <c r="AF76"/>
  <c r="AC77"/>
  <c r="AE77" s="1"/>
  <c r="AF77"/>
  <c r="AC78"/>
  <c r="AE78" s="1"/>
  <c r="AF78"/>
  <c r="AC79"/>
  <c r="AE79" s="1"/>
  <c r="AF79"/>
  <c r="AC80"/>
  <c r="AE80" s="1"/>
  <c r="AF80"/>
  <c r="AC81"/>
  <c r="AE81" s="1"/>
  <c r="AF81"/>
  <c r="AC99"/>
  <c r="AE99" s="1"/>
  <c r="AF99"/>
  <c r="AC100"/>
  <c r="AE100" s="1"/>
  <c r="AF100"/>
  <c r="AC101"/>
  <c r="AE101" s="1"/>
  <c r="AF101"/>
  <c r="AC82"/>
  <c r="AE82" s="1"/>
  <c r="AF82"/>
  <c r="AC83"/>
  <c r="AE83" s="1"/>
  <c r="AF83"/>
  <c r="AC84"/>
  <c r="AE84" s="1"/>
  <c r="AF84"/>
  <c r="AC85"/>
  <c r="AE85" s="1"/>
  <c r="AF85"/>
  <c r="AC86"/>
  <c r="AE86" s="1"/>
  <c r="AF86"/>
  <c r="AC87"/>
  <c r="AE87" s="1"/>
  <c r="AF87"/>
  <c r="AC45"/>
  <c r="AE45" s="1"/>
  <c r="AF45"/>
  <c r="AC111"/>
  <c r="AE111" s="1"/>
  <c r="AF111"/>
  <c r="AC63"/>
  <c r="AE63" s="1"/>
  <c r="AF63"/>
  <c r="AC38"/>
  <c r="AE38" s="1"/>
  <c r="AF38"/>
  <c r="AC39"/>
  <c r="AE39" s="1"/>
  <c r="AF39"/>
  <c r="AF106"/>
  <c r="AC106"/>
  <c r="V107"/>
  <c r="X107" s="1"/>
  <c r="Y107"/>
  <c r="V108"/>
  <c r="X108" s="1"/>
  <c r="Y108"/>
  <c r="V109"/>
  <c r="X109" s="1"/>
  <c r="Y109"/>
  <c r="V110"/>
  <c r="X110" s="1"/>
  <c r="Y110"/>
  <c r="V43"/>
  <c r="X43" s="1"/>
  <c r="Y43"/>
  <c r="V47"/>
  <c r="X47" s="1"/>
  <c r="Y47"/>
  <c r="V48"/>
  <c r="X48" s="1"/>
  <c r="Y48"/>
  <c r="V49"/>
  <c r="X49" s="1"/>
  <c r="Y49"/>
  <c r="V50"/>
  <c r="X50" s="1"/>
  <c r="Y50"/>
  <c r="V51"/>
  <c r="X51" s="1"/>
  <c r="Y51"/>
  <c r="V4"/>
  <c r="X4" s="1"/>
  <c r="Y4"/>
  <c r="V5"/>
  <c r="X5" s="1"/>
  <c r="Y5"/>
  <c r="V89"/>
  <c r="X89" s="1"/>
  <c r="Y89"/>
  <c r="V90"/>
  <c r="X90" s="1"/>
  <c r="Y90"/>
  <c r="V91"/>
  <c r="X91" s="1"/>
  <c r="Y91"/>
  <c r="V92"/>
  <c r="X92" s="1"/>
  <c r="Y92"/>
  <c r="V93"/>
  <c r="X93" s="1"/>
  <c r="Y93"/>
  <c r="V65"/>
  <c r="X65" s="1"/>
  <c r="Y65"/>
  <c r="V66"/>
  <c r="X66" s="1"/>
  <c r="Y66"/>
  <c r="V67"/>
  <c r="X67" s="1"/>
  <c r="Y67"/>
  <c r="V68"/>
  <c r="X68" s="1"/>
  <c r="Y68"/>
  <c r="V69"/>
  <c r="X69" s="1"/>
  <c r="Y69"/>
  <c r="V70"/>
  <c r="X70" s="1"/>
  <c r="Y70"/>
  <c r="V71"/>
  <c r="X71" s="1"/>
  <c r="Y71"/>
  <c r="V72"/>
  <c r="X72" s="1"/>
  <c r="Y72"/>
  <c r="V73"/>
  <c r="X73" s="1"/>
  <c r="Y73"/>
  <c r="V74"/>
  <c r="X74" s="1"/>
  <c r="Y74"/>
  <c r="V75"/>
  <c r="X75" s="1"/>
  <c r="Y75"/>
  <c r="V8"/>
  <c r="X8" s="1"/>
  <c r="Y8"/>
  <c r="V9"/>
  <c r="X9" s="1"/>
  <c r="Y9"/>
  <c r="V10"/>
  <c r="X10" s="1"/>
  <c r="Y10"/>
  <c r="V53"/>
  <c r="X53" s="1"/>
  <c r="Y53"/>
  <c r="V54"/>
  <c r="X54" s="1"/>
  <c r="Y54"/>
  <c r="V55"/>
  <c r="X55" s="1"/>
  <c r="Y55"/>
  <c r="V56"/>
  <c r="X56" s="1"/>
  <c r="Y56"/>
  <c r="V57"/>
  <c r="X57" s="1"/>
  <c r="Y57"/>
  <c r="V58"/>
  <c r="X58" s="1"/>
  <c r="Y58"/>
  <c r="V59"/>
  <c r="X59" s="1"/>
  <c r="Y59"/>
  <c r="V60"/>
  <c r="X60" s="1"/>
  <c r="Y60"/>
  <c r="V61"/>
  <c r="X61" s="1"/>
  <c r="Y61"/>
  <c r="V62"/>
  <c r="X62" s="1"/>
  <c r="Y62"/>
  <c r="V11"/>
  <c r="X11" s="1"/>
  <c r="Y11"/>
  <c r="V12"/>
  <c r="X12" s="1"/>
  <c r="Y12"/>
  <c r="V13"/>
  <c r="X13" s="1"/>
  <c r="Y13"/>
  <c r="V14"/>
  <c r="X14" s="1"/>
  <c r="Y14"/>
  <c r="V15"/>
  <c r="X15" s="1"/>
  <c r="Y15"/>
  <c r="V113"/>
  <c r="X113" s="1"/>
  <c r="Y113"/>
  <c r="V114"/>
  <c r="X114" s="1"/>
  <c r="Y114"/>
  <c r="V115"/>
  <c r="X115" s="1"/>
  <c r="Y115"/>
  <c r="V116"/>
  <c r="X116" s="1"/>
  <c r="Y116"/>
  <c r="V117"/>
  <c r="X117" s="1"/>
  <c r="Y117"/>
  <c r="V16"/>
  <c r="X16" s="1"/>
  <c r="Y16"/>
  <c r="V17"/>
  <c r="X17" s="1"/>
  <c r="Y17"/>
  <c r="V18"/>
  <c r="X18" s="1"/>
  <c r="Y18"/>
  <c r="V94"/>
  <c r="X94" s="1"/>
  <c r="Y94"/>
  <c r="V95"/>
  <c r="X95" s="1"/>
  <c r="Y95"/>
  <c r="V97"/>
  <c r="X97" s="1"/>
  <c r="Y97"/>
  <c r="V98"/>
  <c r="X98" s="1"/>
  <c r="Y98"/>
  <c r="V103"/>
  <c r="X103" s="1"/>
  <c r="Y103"/>
  <c r="V19"/>
  <c r="X19" s="1"/>
  <c r="Y19"/>
  <c r="V118"/>
  <c r="X118" s="1"/>
  <c r="Y118"/>
  <c r="V20"/>
  <c r="X20" s="1"/>
  <c r="Y20"/>
  <c r="V21"/>
  <c r="X21" s="1"/>
  <c r="Y21"/>
  <c r="V22"/>
  <c r="X22" s="1"/>
  <c r="Y22"/>
  <c r="V23"/>
  <c r="X23" s="1"/>
  <c r="Y23"/>
  <c r="V24"/>
  <c r="X24" s="1"/>
  <c r="Y24"/>
  <c r="V25"/>
  <c r="X25" s="1"/>
  <c r="Y25"/>
  <c r="V26"/>
  <c r="X26" s="1"/>
  <c r="Y26"/>
  <c r="V27"/>
  <c r="X27" s="1"/>
  <c r="Y27"/>
  <c r="V28"/>
  <c r="X28" s="1"/>
  <c r="Y28"/>
  <c r="V29"/>
  <c r="X29" s="1"/>
  <c r="Y29"/>
  <c r="V30"/>
  <c r="X30" s="1"/>
  <c r="Y30"/>
  <c r="V31"/>
  <c r="X31" s="1"/>
  <c r="Y31"/>
  <c r="V32"/>
  <c r="X32" s="1"/>
  <c r="Y32"/>
  <c r="V33"/>
  <c r="X33" s="1"/>
  <c r="Y33"/>
  <c r="V34"/>
  <c r="X34" s="1"/>
  <c r="Y34"/>
  <c r="V35"/>
  <c r="X35" s="1"/>
  <c r="Y35"/>
  <c r="V36"/>
  <c r="X36" s="1"/>
  <c r="Y36"/>
  <c r="V37"/>
  <c r="X37" s="1"/>
  <c r="Y37"/>
  <c r="V76"/>
  <c r="X76" s="1"/>
  <c r="Y76"/>
  <c r="V77"/>
  <c r="X77" s="1"/>
  <c r="Y77"/>
  <c r="V78"/>
  <c r="X78" s="1"/>
  <c r="Y78"/>
  <c r="V79"/>
  <c r="X79" s="1"/>
  <c r="Y79"/>
  <c r="V80"/>
  <c r="X80" s="1"/>
  <c r="Y80"/>
  <c r="V81"/>
  <c r="X81" s="1"/>
  <c r="Y81"/>
  <c r="V99"/>
  <c r="X99" s="1"/>
  <c r="Y99"/>
  <c r="V100"/>
  <c r="X100" s="1"/>
  <c r="Y100"/>
  <c r="V101"/>
  <c r="X101" s="1"/>
  <c r="Y101"/>
  <c r="V82"/>
  <c r="X82" s="1"/>
  <c r="Y82"/>
  <c r="V83"/>
  <c r="X83" s="1"/>
  <c r="Y83"/>
  <c r="V84"/>
  <c r="X84" s="1"/>
  <c r="Y84"/>
  <c r="V85"/>
  <c r="X85" s="1"/>
  <c r="Y85"/>
  <c r="V86"/>
  <c r="X86" s="1"/>
  <c r="Y86"/>
  <c r="V87"/>
  <c r="X87" s="1"/>
  <c r="Y87"/>
  <c r="V45"/>
  <c r="X45" s="1"/>
  <c r="Y45"/>
  <c r="V111"/>
  <c r="X111" s="1"/>
  <c r="Y111"/>
  <c r="V63"/>
  <c r="X63" s="1"/>
  <c r="Y63"/>
  <c r="V38"/>
  <c r="X38" s="1"/>
  <c r="Y38"/>
  <c r="V39"/>
  <c r="X39" s="1"/>
  <c r="Y39"/>
  <c r="AE106"/>
  <c r="Y106"/>
  <c r="R107"/>
  <c r="R109"/>
  <c r="R110"/>
  <c r="R43"/>
  <c r="R48"/>
  <c r="R49"/>
  <c r="R50"/>
  <c r="R4"/>
  <c r="R5"/>
  <c r="R90"/>
  <c r="R91"/>
  <c r="R92"/>
  <c r="R93"/>
  <c r="R65"/>
  <c r="R66"/>
  <c r="R68"/>
  <c r="R69"/>
  <c r="R71"/>
  <c r="R72"/>
  <c r="R74"/>
  <c r="R75"/>
  <c r="R8"/>
  <c r="R9"/>
  <c r="R10"/>
  <c r="R53"/>
  <c r="R55"/>
  <c r="R56"/>
  <c r="R57"/>
  <c r="R58"/>
  <c r="R59"/>
  <c r="R60"/>
  <c r="R61"/>
  <c r="R11"/>
  <c r="R12"/>
  <c r="R13"/>
  <c r="R14"/>
  <c r="R15"/>
  <c r="R113"/>
  <c r="R114"/>
  <c r="R116"/>
  <c r="R117"/>
  <c r="R16"/>
  <c r="R17"/>
  <c r="R18"/>
  <c r="R94"/>
  <c r="R97"/>
  <c r="R98"/>
  <c r="R103"/>
  <c r="R118"/>
  <c r="R20"/>
  <c r="R21"/>
  <c r="R23"/>
  <c r="R24"/>
  <c r="R25"/>
  <c r="R27"/>
  <c r="R28"/>
  <c r="R29"/>
  <c r="R31"/>
  <c r="R32"/>
  <c r="R34"/>
  <c r="R36"/>
  <c r="R37"/>
  <c r="R76"/>
  <c r="R77"/>
  <c r="R79"/>
  <c r="R80"/>
  <c r="R81"/>
  <c r="R99"/>
  <c r="R100"/>
  <c r="R101"/>
  <c r="R82"/>
  <c r="R84"/>
  <c r="R85"/>
  <c r="R86"/>
  <c r="R87"/>
  <c r="R45"/>
  <c r="R111"/>
  <c r="R63"/>
  <c r="R38"/>
  <c r="R39"/>
  <c r="R106"/>
  <c r="V106"/>
  <c r="X106" s="1"/>
  <c r="O107"/>
  <c r="Q107" s="1"/>
  <c r="O108"/>
  <c r="Q108" s="1"/>
  <c r="R108"/>
  <c r="O109"/>
  <c r="Q109" s="1"/>
  <c r="O110"/>
  <c r="Q110" s="1"/>
  <c r="O43"/>
  <c r="Q43" s="1"/>
  <c r="O47"/>
  <c r="Q47" s="1"/>
  <c r="R47"/>
  <c r="O48"/>
  <c r="Q48" s="1"/>
  <c r="O49"/>
  <c r="Q49" s="1"/>
  <c r="O50"/>
  <c r="Q50" s="1"/>
  <c r="O51"/>
  <c r="Q51" s="1"/>
  <c r="R51"/>
  <c r="O4"/>
  <c r="Q4" s="1"/>
  <c r="O5"/>
  <c r="Q5" s="1"/>
  <c r="O89"/>
  <c r="Q89" s="1"/>
  <c r="R89"/>
  <c r="O90"/>
  <c r="Q90" s="1"/>
  <c r="O91"/>
  <c r="Q91" s="1"/>
  <c r="O92"/>
  <c r="Q92" s="1"/>
  <c r="S92" s="1"/>
  <c r="T92" s="1"/>
  <c r="O93"/>
  <c r="Q93" s="1"/>
  <c r="O65"/>
  <c r="Q65" s="1"/>
  <c r="O66"/>
  <c r="Q66" s="1"/>
  <c r="O67"/>
  <c r="Q67" s="1"/>
  <c r="R67"/>
  <c r="O68"/>
  <c r="Q68" s="1"/>
  <c r="O69"/>
  <c r="Q69" s="1"/>
  <c r="O70"/>
  <c r="Q70" s="1"/>
  <c r="R70"/>
  <c r="O71"/>
  <c r="Q71" s="1"/>
  <c r="O72"/>
  <c r="Q72" s="1"/>
  <c r="O73"/>
  <c r="Q73" s="1"/>
  <c r="R73"/>
  <c r="O74"/>
  <c r="Q74" s="1"/>
  <c r="O75"/>
  <c r="Q75" s="1"/>
  <c r="O8"/>
  <c r="Q8" s="1"/>
  <c r="O9"/>
  <c r="Q9" s="1"/>
  <c r="O10"/>
  <c r="Q10" s="1"/>
  <c r="O53"/>
  <c r="Q53" s="1"/>
  <c r="O54"/>
  <c r="Q54" s="1"/>
  <c r="R54"/>
  <c r="O55"/>
  <c r="Q55" s="1"/>
  <c r="O56"/>
  <c r="Q56" s="1"/>
  <c r="O57"/>
  <c r="Q57" s="1"/>
  <c r="O58"/>
  <c r="Q58" s="1"/>
  <c r="O59"/>
  <c r="Q59" s="1"/>
  <c r="O60"/>
  <c r="Q60" s="1"/>
  <c r="O61"/>
  <c r="Q61" s="1"/>
  <c r="O62"/>
  <c r="Q62" s="1"/>
  <c r="R62"/>
  <c r="O11"/>
  <c r="Q11" s="1"/>
  <c r="O12"/>
  <c r="Q12" s="1"/>
  <c r="O13"/>
  <c r="Q13" s="1"/>
  <c r="O14"/>
  <c r="Q14" s="1"/>
  <c r="O15"/>
  <c r="Q15" s="1"/>
  <c r="O113"/>
  <c r="Q113" s="1"/>
  <c r="O114"/>
  <c r="Q114" s="1"/>
  <c r="O115"/>
  <c r="Q115" s="1"/>
  <c r="R115"/>
  <c r="O116"/>
  <c r="Q116" s="1"/>
  <c r="O117"/>
  <c r="Q117" s="1"/>
  <c r="O16"/>
  <c r="Q16" s="1"/>
  <c r="O17"/>
  <c r="Q17" s="1"/>
  <c r="O18"/>
  <c r="Q18" s="1"/>
  <c r="O94"/>
  <c r="Q94" s="1"/>
  <c r="O95"/>
  <c r="Q95" s="1"/>
  <c r="R95"/>
  <c r="O97"/>
  <c r="Q97" s="1"/>
  <c r="O98"/>
  <c r="Q98" s="1"/>
  <c r="O103"/>
  <c r="Q103" s="1"/>
  <c r="O19"/>
  <c r="Q19" s="1"/>
  <c r="R19"/>
  <c r="O118"/>
  <c r="Q118" s="1"/>
  <c r="O20"/>
  <c r="Q20" s="1"/>
  <c r="O21"/>
  <c r="Q21" s="1"/>
  <c r="O22"/>
  <c r="Q22" s="1"/>
  <c r="R22"/>
  <c r="O23"/>
  <c r="Q23" s="1"/>
  <c r="O24"/>
  <c r="Q24" s="1"/>
  <c r="O25"/>
  <c r="Q25" s="1"/>
  <c r="O26"/>
  <c r="Q26" s="1"/>
  <c r="R26"/>
  <c r="O27"/>
  <c r="Q27" s="1"/>
  <c r="O28"/>
  <c r="Q28" s="1"/>
  <c r="O29"/>
  <c r="Q29" s="1"/>
  <c r="O30"/>
  <c r="Q30" s="1"/>
  <c r="R30"/>
  <c r="O31"/>
  <c r="Q31" s="1"/>
  <c r="O32"/>
  <c r="Q32" s="1"/>
  <c r="O33"/>
  <c r="Q33" s="1"/>
  <c r="R33"/>
  <c r="O34"/>
  <c r="Q34" s="1"/>
  <c r="O35"/>
  <c r="Q35" s="1"/>
  <c r="R35"/>
  <c r="O36"/>
  <c r="Q36" s="1"/>
  <c r="O37"/>
  <c r="Q37" s="1"/>
  <c r="O76"/>
  <c r="Q76" s="1"/>
  <c r="O77"/>
  <c r="Q77" s="1"/>
  <c r="O78"/>
  <c r="Q78" s="1"/>
  <c r="R78"/>
  <c r="O79"/>
  <c r="Q79" s="1"/>
  <c r="O80"/>
  <c r="Q80" s="1"/>
  <c r="O81"/>
  <c r="Q81" s="1"/>
  <c r="O99"/>
  <c r="Q99" s="1"/>
  <c r="O100"/>
  <c r="Q100" s="1"/>
  <c r="O101"/>
  <c r="Q101" s="1"/>
  <c r="O82"/>
  <c r="Q82" s="1"/>
  <c r="O83"/>
  <c r="Q83" s="1"/>
  <c r="R83"/>
  <c r="O84"/>
  <c r="Q84" s="1"/>
  <c r="O85"/>
  <c r="Q85" s="1"/>
  <c r="O86"/>
  <c r="Q86" s="1"/>
  <c r="O87"/>
  <c r="Q87" s="1"/>
  <c r="O45"/>
  <c r="Q45" s="1"/>
  <c r="O111"/>
  <c r="Q111" s="1"/>
  <c r="O63"/>
  <c r="Q63" s="1"/>
  <c r="O38"/>
  <c r="Q38" s="1"/>
  <c r="O39"/>
  <c r="Q39" s="1"/>
  <c r="O106"/>
  <c r="Q106" s="1"/>
  <c r="H106"/>
  <c r="J106" s="1"/>
  <c r="H107"/>
  <c r="J107" s="1"/>
  <c r="K107"/>
  <c r="H108"/>
  <c r="J108" s="1"/>
  <c r="K108"/>
  <c r="H109"/>
  <c r="J109" s="1"/>
  <c r="K109"/>
  <c r="H110"/>
  <c r="J110" s="1"/>
  <c r="K110"/>
  <c r="H43"/>
  <c r="J43" s="1"/>
  <c r="K43"/>
  <c r="H47"/>
  <c r="J47" s="1"/>
  <c r="K47"/>
  <c r="H48"/>
  <c r="J48" s="1"/>
  <c r="K48"/>
  <c r="H49"/>
  <c r="J49" s="1"/>
  <c r="K49"/>
  <c r="H50"/>
  <c r="J50" s="1"/>
  <c r="K50"/>
  <c r="H51"/>
  <c r="J51" s="1"/>
  <c r="K51"/>
  <c r="H4"/>
  <c r="J4" s="1"/>
  <c r="K4"/>
  <c r="H5"/>
  <c r="J5" s="1"/>
  <c r="K5"/>
  <c r="H89"/>
  <c r="J89" s="1"/>
  <c r="K89"/>
  <c r="H90"/>
  <c r="J90" s="1"/>
  <c r="K90"/>
  <c r="H91"/>
  <c r="J91" s="1"/>
  <c r="K91"/>
  <c r="H92"/>
  <c r="J92" s="1"/>
  <c r="K92"/>
  <c r="H93"/>
  <c r="J93" s="1"/>
  <c r="K93"/>
  <c r="H65"/>
  <c r="J65" s="1"/>
  <c r="K65"/>
  <c r="H66"/>
  <c r="J66" s="1"/>
  <c r="K66"/>
  <c r="H67"/>
  <c r="J67" s="1"/>
  <c r="K67"/>
  <c r="H68"/>
  <c r="J68" s="1"/>
  <c r="K68"/>
  <c r="H69"/>
  <c r="J69" s="1"/>
  <c r="K69"/>
  <c r="H70"/>
  <c r="J70" s="1"/>
  <c r="K70"/>
  <c r="H71"/>
  <c r="J71" s="1"/>
  <c r="K71"/>
  <c r="H72"/>
  <c r="J72" s="1"/>
  <c r="K72"/>
  <c r="H73"/>
  <c r="J73" s="1"/>
  <c r="K73"/>
  <c r="H74"/>
  <c r="J74" s="1"/>
  <c r="K74"/>
  <c r="H75"/>
  <c r="J75" s="1"/>
  <c r="K75"/>
  <c r="H8"/>
  <c r="J8" s="1"/>
  <c r="K8"/>
  <c r="H9"/>
  <c r="J9" s="1"/>
  <c r="K9"/>
  <c r="H10"/>
  <c r="J10" s="1"/>
  <c r="K10"/>
  <c r="H53"/>
  <c r="J53" s="1"/>
  <c r="K53"/>
  <c r="H54"/>
  <c r="J54" s="1"/>
  <c r="K54"/>
  <c r="H55"/>
  <c r="J55" s="1"/>
  <c r="K55"/>
  <c r="H56"/>
  <c r="J56" s="1"/>
  <c r="K56"/>
  <c r="H57"/>
  <c r="J57" s="1"/>
  <c r="K57"/>
  <c r="H58"/>
  <c r="J58" s="1"/>
  <c r="K58"/>
  <c r="H59"/>
  <c r="J59" s="1"/>
  <c r="K59"/>
  <c r="H60"/>
  <c r="J60" s="1"/>
  <c r="K60"/>
  <c r="H61"/>
  <c r="J61" s="1"/>
  <c r="K61"/>
  <c r="H62"/>
  <c r="J62" s="1"/>
  <c r="K62"/>
  <c r="H11"/>
  <c r="J11" s="1"/>
  <c r="K11"/>
  <c r="H12"/>
  <c r="J12" s="1"/>
  <c r="K12"/>
  <c r="H13"/>
  <c r="J13" s="1"/>
  <c r="K13"/>
  <c r="H14"/>
  <c r="J14" s="1"/>
  <c r="K14"/>
  <c r="H15"/>
  <c r="J15" s="1"/>
  <c r="K15"/>
  <c r="H113"/>
  <c r="J113" s="1"/>
  <c r="K113"/>
  <c r="H114"/>
  <c r="J114" s="1"/>
  <c r="K114"/>
  <c r="H115"/>
  <c r="J115" s="1"/>
  <c r="K115"/>
  <c r="H116"/>
  <c r="J116" s="1"/>
  <c r="K116"/>
  <c r="H117"/>
  <c r="J117" s="1"/>
  <c r="K117"/>
  <c r="H16"/>
  <c r="J16" s="1"/>
  <c r="K16"/>
  <c r="H17"/>
  <c r="J17" s="1"/>
  <c r="K17"/>
  <c r="H18"/>
  <c r="J18" s="1"/>
  <c r="K18"/>
  <c r="H94"/>
  <c r="J94" s="1"/>
  <c r="K94"/>
  <c r="H95"/>
  <c r="J95" s="1"/>
  <c r="K95"/>
  <c r="H97"/>
  <c r="J97" s="1"/>
  <c r="K97"/>
  <c r="H98"/>
  <c r="J98" s="1"/>
  <c r="K98"/>
  <c r="H103"/>
  <c r="J103" s="1"/>
  <c r="K103"/>
  <c r="H19"/>
  <c r="J19" s="1"/>
  <c r="K19"/>
  <c r="H118"/>
  <c r="J118" s="1"/>
  <c r="K118"/>
  <c r="H20"/>
  <c r="J20" s="1"/>
  <c r="K20"/>
  <c r="H21"/>
  <c r="J21" s="1"/>
  <c r="K21"/>
  <c r="H22"/>
  <c r="J22" s="1"/>
  <c r="K22"/>
  <c r="H23"/>
  <c r="J23" s="1"/>
  <c r="K23"/>
  <c r="H24"/>
  <c r="J24" s="1"/>
  <c r="K24"/>
  <c r="H25"/>
  <c r="J25" s="1"/>
  <c r="K25"/>
  <c r="H26"/>
  <c r="J26" s="1"/>
  <c r="K26"/>
  <c r="H27"/>
  <c r="J27" s="1"/>
  <c r="K27"/>
  <c r="H28"/>
  <c r="J28" s="1"/>
  <c r="K28"/>
  <c r="H29"/>
  <c r="J29" s="1"/>
  <c r="K29"/>
  <c r="H30"/>
  <c r="J30" s="1"/>
  <c r="K30"/>
  <c r="H31"/>
  <c r="J31" s="1"/>
  <c r="K31"/>
  <c r="H32"/>
  <c r="J32" s="1"/>
  <c r="K32"/>
  <c r="H33"/>
  <c r="J33" s="1"/>
  <c r="K33"/>
  <c r="H34"/>
  <c r="J34" s="1"/>
  <c r="K34"/>
  <c r="H35"/>
  <c r="J35" s="1"/>
  <c r="K35"/>
  <c r="H36"/>
  <c r="J36" s="1"/>
  <c r="K36"/>
  <c r="H37"/>
  <c r="J37" s="1"/>
  <c r="K37"/>
  <c r="H76"/>
  <c r="J76" s="1"/>
  <c r="K76"/>
  <c r="H77"/>
  <c r="J77" s="1"/>
  <c r="K77"/>
  <c r="H78"/>
  <c r="J78" s="1"/>
  <c r="K78"/>
  <c r="H79"/>
  <c r="J79" s="1"/>
  <c r="K79"/>
  <c r="H80"/>
  <c r="J80" s="1"/>
  <c r="K80"/>
  <c r="H81"/>
  <c r="J81" s="1"/>
  <c r="K81"/>
  <c r="H99"/>
  <c r="J99" s="1"/>
  <c r="K99"/>
  <c r="H100"/>
  <c r="J100" s="1"/>
  <c r="K100"/>
  <c r="H101"/>
  <c r="J101" s="1"/>
  <c r="K101"/>
  <c r="H82"/>
  <c r="J82" s="1"/>
  <c r="K82"/>
  <c r="H83"/>
  <c r="J83" s="1"/>
  <c r="K83"/>
  <c r="H84"/>
  <c r="J84" s="1"/>
  <c r="K84"/>
  <c r="H85"/>
  <c r="J85" s="1"/>
  <c r="K85"/>
  <c r="H86"/>
  <c r="J86" s="1"/>
  <c r="K86"/>
  <c r="H87"/>
  <c r="J87" s="1"/>
  <c r="K87"/>
  <c r="H45"/>
  <c r="J45" s="1"/>
  <c r="K45"/>
  <c r="H111"/>
  <c r="J111" s="1"/>
  <c r="K111"/>
  <c r="H63"/>
  <c r="J63" s="1"/>
  <c r="K63"/>
  <c r="H38"/>
  <c r="J38" s="1"/>
  <c r="K38"/>
  <c r="H39"/>
  <c r="J39" s="1"/>
  <c r="K39"/>
  <c r="K106"/>
  <c r="AP106" l="1"/>
  <c r="AN92"/>
  <c r="AO92" s="1"/>
  <c r="Z57"/>
  <c r="AA57" s="1"/>
  <c r="U57" s="1"/>
  <c r="AG75"/>
  <c r="AH75" s="1"/>
  <c r="Z118"/>
  <c r="AA118" s="1"/>
  <c r="Z117"/>
  <c r="AA117" s="1"/>
  <c r="Z58"/>
  <c r="AA58" s="1"/>
  <c r="U58" s="1"/>
  <c r="AG37"/>
  <c r="AH37" s="1"/>
  <c r="AG8"/>
  <c r="AH8" s="1"/>
  <c r="AN33"/>
  <c r="AO33" s="1"/>
  <c r="AN93"/>
  <c r="AO93" s="1"/>
  <c r="S52"/>
  <c r="T52" s="1"/>
  <c r="N52" s="1"/>
  <c r="S119"/>
  <c r="T119" s="1"/>
  <c r="Z13"/>
  <c r="AA13" s="1"/>
  <c r="Z61"/>
  <c r="AA61" s="1"/>
  <c r="Z59"/>
  <c r="AA59" s="1"/>
  <c r="AG11"/>
  <c r="AH11" s="1"/>
  <c r="AG55"/>
  <c r="AH55" s="1"/>
  <c r="AB55" s="1"/>
  <c r="AN71"/>
  <c r="AO71" s="1"/>
  <c r="AN67"/>
  <c r="AO67" s="1"/>
  <c r="AN65"/>
  <c r="AO65" s="1"/>
  <c r="AG41"/>
  <c r="AH41" s="1"/>
  <c r="S44"/>
  <c r="T44" s="1"/>
  <c r="N44" s="1"/>
  <c r="S105"/>
  <c r="T105" s="1"/>
  <c r="S15"/>
  <c r="T15" s="1"/>
  <c r="N15" s="1"/>
  <c r="AG100"/>
  <c r="AH100" s="1"/>
  <c r="AG79"/>
  <c r="AH79" s="1"/>
  <c r="AG77"/>
  <c r="AH77" s="1"/>
  <c r="AG76"/>
  <c r="AH76" s="1"/>
  <c r="AN81"/>
  <c r="AO81" s="1"/>
  <c r="AN77"/>
  <c r="AO77" s="1"/>
  <c r="AN37"/>
  <c r="AO37" s="1"/>
  <c r="AN35"/>
  <c r="AO35" s="1"/>
  <c r="AN34"/>
  <c r="AO34" s="1"/>
  <c r="S99"/>
  <c r="T99" s="1"/>
  <c r="AG84"/>
  <c r="AH84" s="1"/>
  <c r="AN84"/>
  <c r="AO84" s="1"/>
  <c r="AG95"/>
  <c r="AH95" s="1"/>
  <c r="S6"/>
  <c r="T6" s="1"/>
  <c r="AN40"/>
  <c r="AO40" s="1"/>
  <c r="S40"/>
  <c r="T40" s="1"/>
  <c r="N40" s="1"/>
  <c r="S42"/>
  <c r="T42" s="1"/>
  <c r="N42" s="1"/>
  <c r="S46"/>
  <c r="T46" s="1"/>
  <c r="N46" s="1"/>
  <c r="S112"/>
  <c r="T112" s="1"/>
  <c r="Z50"/>
  <c r="AA50" s="1"/>
  <c r="AN15"/>
  <c r="AO15" s="1"/>
  <c r="AG40"/>
  <c r="AH40" s="1"/>
  <c r="AB40" s="1"/>
  <c r="Z40"/>
  <c r="AA40" s="1"/>
  <c r="L40"/>
  <c r="M40" s="1"/>
  <c r="AN41"/>
  <c r="AO41" s="1"/>
  <c r="AG42"/>
  <c r="AH42" s="1"/>
  <c r="AB42" s="1"/>
  <c r="Z42"/>
  <c r="AA42" s="1"/>
  <c r="U42" s="1"/>
  <c r="L42"/>
  <c r="M42" s="1"/>
  <c r="AG44"/>
  <c r="AH44" s="1"/>
  <c r="Z44"/>
  <c r="AA44" s="1"/>
  <c r="U44" s="1"/>
  <c r="L44"/>
  <c r="M44" s="1"/>
  <c r="AG46"/>
  <c r="AH46" s="1"/>
  <c r="Z46"/>
  <c r="AA46" s="1"/>
  <c r="L46"/>
  <c r="M46" s="1"/>
  <c r="S88"/>
  <c r="T88" s="1"/>
  <c r="S102"/>
  <c r="T102" s="1"/>
  <c r="AG105"/>
  <c r="AH105" s="1"/>
  <c r="Z105"/>
  <c r="AA105" s="1"/>
  <c r="U105" s="1"/>
  <c r="F151" s="1"/>
  <c r="L151" s="1"/>
  <c r="L105"/>
  <c r="M105" s="1"/>
  <c r="AG112"/>
  <c r="AH112" s="1"/>
  <c r="Z112"/>
  <c r="AA112" s="1"/>
  <c r="U112" s="1"/>
  <c r="L112"/>
  <c r="M112" s="1"/>
  <c r="AG119"/>
  <c r="AH119" s="1"/>
  <c r="Z119"/>
  <c r="AA119" s="1"/>
  <c r="U119" s="1"/>
  <c r="L119"/>
  <c r="M119" s="1"/>
  <c r="S80"/>
  <c r="T80" s="1"/>
  <c r="S95"/>
  <c r="T95" s="1"/>
  <c r="Z35"/>
  <c r="AA35" s="1"/>
  <c r="Z26"/>
  <c r="AA26" s="1"/>
  <c r="Z21"/>
  <c r="AA21" s="1"/>
  <c r="Z70"/>
  <c r="AA70" s="1"/>
  <c r="Z92"/>
  <c r="AA92" s="1"/>
  <c r="U92" s="1"/>
  <c r="Z4"/>
  <c r="AA4" s="1"/>
  <c r="Z51"/>
  <c r="AA51" s="1"/>
  <c r="AG25"/>
  <c r="AH25" s="1"/>
  <c r="AG118"/>
  <c r="AH118" s="1"/>
  <c r="AB118" s="1"/>
  <c r="AG103"/>
  <c r="AH103" s="1"/>
  <c r="AG97"/>
  <c r="AH97" s="1"/>
  <c r="AG90"/>
  <c r="AH90" s="1"/>
  <c r="AG48"/>
  <c r="AH48" s="1"/>
  <c r="AG109"/>
  <c r="AH109" s="1"/>
  <c r="AG107"/>
  <c r="AH107" s="1"/>
  <c r="AN63"/>
  <c r="AO63" s="1"/>
  <c r="AN87"/>
  <c r="AO87" s="1"/>
  <c r="AN85"/>
  <c r="AO85" s="1"/>
  <c r="AN19"/>
  <c r="AO19" s="1"/>
  <c r="AN18"/>
  <c r="AO18" s="1"/>
  <c r="AN116"/>
  <c r="AO116" s="1"/>
  <c r="AN114"/>
  <c r="AO114" s="1"/>
  <c r="AN113"/>
  <c r="AO113" s="1"/>
  <c r="AN107"/>
  <c r="AO107" s="1"/>
  <c r="S7"/>
  <c r="T7" s="1"/>
  <c r="S64"/>
  <c r="T64" s="1"/>
  <c r="N64" s="1"/>
  <c r="S96"/>
  <c r="T96" s="1"/>
  <c r="S104"/>
  <c r="T104" s="1"/>
  <c r="S81"/>
  <c r="T81" s="1"/>
  <c r="S79"/>
  <c r="T79" s="1"/>
  <c r="S113"/>
  <c r="T113" s="1"/>
  <c r="N113" s="1"/>
  <c r="S103"/>
  <c r="T103" s="1"/>
  <c r="AN50"/>
  <c r="AO50" s="1"/>
  <c r="AN43"/>
  <c r="AO43" s="1"/>
  <c r="AN109"/>
  <c r="AO109" s="1"/>
  <c r="AN108"/>
  <c r="AO108" s="1"/>
  <c r="AG6"/>
  <c r="AH6" s="1"/>
  <c r="Z6"/>
  <c r="AA6" s="1"/>
  <c r="U6" s="1"/>
  <c r="L6"/>
  <c r="M6" s="1"/>
  <c r="AG7"/>
  <c r="AH7" s="1"/>
  <c r="Z7"/>
  <c r="AA7" s="1"/>
  <c r="L7"/>
  <c r="M7" s="1"/>
  <c r="S41"/>
  <c r="T41" s="1"/>
  <c r="S16"/>
  <c r="T16" s="1"/>
  <c r="Z63"/>
  <c r="AA63" s="1"/>
  <c r="Z111"/>
  <c r="AA111" s="1"/>
  <c r="Z84"/>
  <c r="AA84" s="1"/>
  <c r="Z79"/>
  <c r="AA79" s="1"/>
  <c r="U79" s="1"/>
  <c r="Z76"/>
  <c r="AA76" s="1"/>
  <c r="Z37"/>
  <c r="AA37" s="1"/>
  <c r="Z36"/>
  <c r="AA36" s="1"/>
  <c r="Z94"/>
  <c r="AA94" s="1"/>
  <c r="Z17"/>
  <c r="AA17" s="1"/>
  <c r="Z16"/>
  <c r="AA16" s="1"/>
  <c r="U16" s="1"/>
  <c r="Z10"/>
  <c r="AA10" s="1"/>
  <c r="U10" s="1"/>
  <c r="Z74"/>
  <c r="AA74" s="1"/>
  <c r="Z72"/>
  <c r="AA72" s="1"/>
  <c r="Z71"/>
  <c r="AA71" s="1"/>
  <c r="Z107"/>
  <c r="AA107" s="1"/>
  <c r="AG38"/>
  <c r="AH38" s="1"/>
  <c r="AG63"/>
  <c r="AH63" s="1"/>
  <c r="AB63" s="1"/>
  <c r="AG85"/>
  <c r="AH85" s="1"/>
  <c r="AG32"/>
  <c r="AH32" s="1"/>
  <c r="AG29"/>
  <c r="AH29" s="1"/>
  <c r="AG27"/>
  <c r="AH27" s="1"/>
  <c r="AG26"/>
  <c r="AH26" s="1"/>
  <c r="AB26" s="1"/>
  <c r="AG114"/>
  <c r="AH114" s="1"/>
  <c r="AG113"/>
  <c r="AH113" s="1"/>
  <c r="AB113" s="1"/>
  <c r="AG15"/>
  <c r="AH15" s="1"/>
  <c r="AG14"/>
  <c r="AH14" s="1"/>
  <c r="AG13"/>
  <c r="AH13" s="1"/>
  <c r="AB13" s="1"/>
  <c r="AG12"/>
  <c r="AH12" s="1"/>
  <c r="AG69"/>
  <c r="AH69" s="1"/>
  <c r="AG65"/>
  <c r="AH65" s="1"/>
  <c r="AG92"/>
  <c r="AH92" s="1"/>
  <c r="AB92" s="1"/>
  <c r="AG91"/>
  <c r="AH91" s="1"/>
  <c r="AN100"/>
  <c r="AO100" s="1"/>
  <c r="AN25"/>
  <c r="AO25" s="1"/>
  <c r="AN21"/>
  <c r="AO21" s="1"/>
  <c r="AN118"/>
  <c r="AO118" s="1"/>
  <c r="AN59"/>
  <c r="AO59" s="1"/>
  <c r="AN55"/>
  <c r="AO55" s="1"/>
  <c r="AN53"/>
  <c r="AO53" s="1"/>
  <c r="AG52"/>
  <c r="AH52" s="1"/>
  <c r="Z52"/>
  <c r="AA52" s="1"/>
  <c r="U52" s="1"/>
  <c r="L52"/>
  <c r="M52" s="1"/>
  <c r="AG64"/>
  <c r="AH64" s="1"/>
  <c r="Z64"/>
  <c r="AA64" s="1"/>
  <c r="U64" s="1"/>
  <c r="L64"/>
  <c r="M64" s="1"/>
  <c r="AG88"/>
  <c r="AH88" s="1"/>
  <c r="Z88"/>
  <c r="AA88" s="1"/>
  <c r="U88" s="1"/>
  <c r="L88"/>
  <c r="M88" s="1"/>
  <c r="AG96"/>
  <c r="AH96" s="1"/>
  <c r="AB96" s="1"/>
  <c r="Z96"/>
  <c r="AA96" s="1"/>
  <c r="U96" s="1"/>
  <c r="L96"/>
  <c r="M96" s="1"/>
  <c r="AG102"/>
  <c r="AH102" s="1"/>
  <c r="Z102"/>
  <c r="AA102" s="1"/>
  <c r="U102" s="1"/>
  <c r="L102"/>
  <c r="M102" s="1"/>
  <c r="AG104"/>
  <c r="AH104" s="1"/>
  <c r="AB104" s="1"/>
  <c r="Z104"/>
  <c r="AA104" s="1"/>
  <c r="U104" s="1"/>
  <c r="L104"/>
  <c r="M104" s="1"/>
  <c r="AN119"/>
  <c r="AO119" s="1"/>
  <c r="AN112"/>
  <c r="AO112" s="1"/>
  <c r="AN105"/>
  <c r="AO105" s="1"/>
  <c r="AN104"/>
  <c r="AO104" s="1"/>
  <c r="AN102"/>
  <c r="AO102" s="1"/>
  <c r="AN96"/>
  <c r="AO96" s="1"/>
  <c r="AN88"/>
  <c r="AO88" s="1"/>
  <c r="AN64"/>
  <c r="AO64" s="1"/>
  <c r="AN52"/>
  <c r="AO52" s="1"/>
  <c r="AN46"/>
  <c r="AO46" s="1"/>
  <c r="AN44"/>
  <c r="AO44" s="1"/>
  <c r="AN42"/>
  <c r="AO42" s="1"/>
  <c r="Z41"/>
  <c r="AA41" s="1"/>
  <c r="U41" s="1"/>
  <c r="F138" s="1"/>
  <c r="L138" s="1"/>
  <c r="L41"/>
  <c r="M41" s="1"/>
  <c r="AN7"/>
  <c r="AO7" s="1"/>
  <c r="AN6"/>
  <c r="AO6" s="1"/>
  <c r="S21"/>
  <c r="T21" s="1"/>
  <c r="S63"/>
  <c r="T63" s="1"/>
  <c r="N63" s="1"/>
  <c r="S116"/>
  <c r="T116" s="1"/>
  <c r="N116" s="1"/>
  <c r="S91"/>
  <c r="T91" s="1"/>
  <c r="S89"/>
  <c r="T89" s="1"/>
  <c r="N89" s="1"/>
  <c r="S5"/>
  <c r="T5" s="1"/>
  <c r="S51"/>
  <c r="T51" s="1"/>
  <c r="S49"/>
  <c r="T49" s="1"/>
  <c r="N49" s="1"/>
  <c r="S47"/>
  <c r="T47" s="1"/>
  <c r="N47" s="1"/>
  <c r="S110"/>
  <c r="T110" s="1"/>
  <c r="N110" s="1"/>
  <c r="S107"/>
  <c r="T107" s="1"/>
  <c r="Z87"/>
  <c r="AA87" s="1"/>
  <c r="Z85"/>
  <c r="AA85" s="1"/>
  <c r="Z99"/>
  <c r="AA99" s="1"/>
  <c r="U99" s="1"/>
  <c r="Z81"/>
  <c r="AA81" s="1"/>
  <c r="U81" s="1"/>
  <c r="Z80"/>
  <c r="AA80" s="1"/>
  <c r="U80" s="1"/>
  <c r="Z30"/>
  <c r="AA30" s="1"/>
  <c r="Z28"/>
  <c r="AA28" s="1"/>
  <c r="Z27"/>
  <c r="AA27" s="1"/>
  <c r="Z97"/>
  <c r="AA97" s="1"/>
  <c r="Z95"/>
  <c r="AA95" s="1"/>
  <c r="U95" s="1"/>
  <c r="Z114"/>
  <c r="AA114" s="1"/>
  <c r="Z15"/>
  <c r="AA15" s="1"/>
  <c r="U15" s="1"/>
  <c r="Z14"/>
  <c r="AA14" s="1"/>
  <c r="U14" s="1"/>
  <c r="Z54"/>
  <c r="AA54" s="1"/>
  <c r="Z67"/>
  <c r="AA67" s="1"/>
  <c r="Z65"/>
  <c r="AA65" s="1"/>
  <c r="Z93"/>
  <c r="AA93" s="1"/>
  <c r="Z43"/>
  <c r="AA43" s="1"/>
  <c r="Z109"/>
  <c r="AA109" s="1"/>
  <c r="Z108"/>
  <c r="AA108" s="1"/>
  <c r="AG45"/>
  <c r="AH45" s="1"/>
  <c r="AG101"/>
  <c r="AH101" s="1"/>
  <c r="AG36"/>
  <c r="AH36" s="1"/>
  <c r="AB36" s="1"/>
  <c r="AG35"/>
  <c r="AH35" s="1"/>
  <c r="AB35" s="1"/>
  <c r="AG34"/>
  <c r="AH34" s="1"/>
  <c r="AG33"/>
  <c r="AH33" s="1"/>
  <c r="AG21"/>
  <c r="AH21" s="1"/>
  <c r="AB21" s="1"/>
  <c r="AG16"/>
  <c r="AH16" s="1"/>
  <c r="AB16" s="1"/>
  <c r="AG116"/>
  <c r="AH116" s="1"/>
  <c r="AG115"/>
  <c r="AH115" s="1"/>
  <c r="AG59"/>
  <c r="AH59" s="1"/>
  <c r="AB59" s="1"/>
  <c r="AG57"/>
  <c r="AH57" s="1"/>
  <c r="AB57" s="1"/>
  <c r="AG56"/>
  <c r="AH56" s="1"/>
  <c r="AB56" s="1"/>
  <c r="AG73"/>
  <c r="AH73" s="1"/>
  <c r="AG71"/>
  <c r="AH71" s="1"/>
  <c r="AB71" s="1"/>
  <c r="AG70"/>
  <c r="AH70" s="1"/>
  <c r="AB70" s="1"/>
  <c r="AG4"/>
  <c r="AH4" s="1"/>
  <c r="AB4" s="1"/>
  <c r="AG50"/>
  <c r="AH50" s="1"/>
  <c r="AB50" s="1"/>
  <c r="AG49"/>
  <c r="AH49" s="1"/>
  <c r="AN38"/>
  <c r="AO38" s="1"/>
  <c r="AN45"/>
  <c r="AO45" s="1"/>
  <c r="AN82"/>
  <c r="AO82" s="1"/>
  <c r="AN79"/>
  <c r="AO79" s="1"/>
  <c r="AN29"/>
  <c r="AO29" s="1"/>
  <c r="AN27"/>
  <c r="AO27" s="1"/>
  <c r="AN26"/>
  <c r="AO26" s="1"/>
  <c r="AN97"/>
  <c r="AO97" s="1"/>
  <c r="AN95"/>
  <c r="AO95" s="1"/>
  <c r="AN94"/>
  <c r="AO94" s="1"/>
  <c r="AN11"/>
  <c r="AO11" s="1"/>
  <c r="AN61"/>
  <c r="AO61" s="1"/>
  <c r="AN60"/>
  <c r="AO60" s="1"/>
  <c r="AN75"/>
  <c r="AO75" s="1"/>
  <c r="AN73"/>
  <c r="AO73" s="1"/>
  <c r="AN72"/>
  <c r="AO72" s="1"/>
  <c r="AN4"/>
  <c r="AO4" s="1"/>
  <c r="AN51"/>
  <c r="AO51" s="1"/>
  <c r="L106"/>
  <c r="M106" s="1"/>
  <c r="S106"/>
  <c r="T106" s="1"/>
  <c r="N106" s="1"/>
  <c r="S115"/>
  <c r="T115" s="1"/>
  <c r="N115" s="1"/>
  <c r="S9"/>
  <c r="T9" s="1"/>
  <c r="N9" s="1"/>
  <c r="S73"/>
  <c r="T73" s="1"/>
  <c r="S69"/>
  <c r="T69" s="1"/>
  <c r="S65"/>
  <c r="T65" s="1"/>
  <c r="N65" s="1"/>
  <c r="Z106"/>
  <c r="AA106" s="1"/>
  <c r="U106" s="1"/>
  <c r="Z38"/>
  <c r="AA38" s="1"/>
  <c r="Z45"/>
  <c r="AA45" s="1"/>
  <c r="Z82"/>
  <c r="AA82" s="1"/>
  <c r="Z100"/>
  <c r="AA100" s="1"/>
  <c r="Z77"/>
  <c r="AA77" s="1"/>
  <c r="Z32"/>
  <c r="AA32" s="1"/>
  <c r="Z31"/>
  <c r="AA31" s="1"/>
  <c r="Z24"/>
  <c r="AA24" s="1"/>
  <c r="Z23"/>
  <c r="AA23" s="1"/>
  <c r="U23" s="1"/>
  <c r="Z22"/>
  <c r="AA22" s="1"/>
  <c r="Z103"/>
  <c r="AA103" s="1"/>
  <c r="U103" s="1"/>
  <c r="F149" s="1"/>
  <c r="L149" s="1"/>
  <c r="Z98"/>
  <c r="AA98" s="1"/>
  <c r="Z18"/>
  <c r="AA18" s="1"/>
  <c r="U18" s="1"/>
  <c r="Z115"/>
  <c r="AA115" s="1"/>
  <c r="U115" s="1"/>
  <c r="Z11"/>
  <c r="AA11" s="1"/>
  <c r="U11" s="1"/>
  <c r="Z62"/>
  <c r="AA62" s="1"/>
  <c r="Z56"/>
  <c r="AA56" s="1"/>
  <c r="U56" s="1"/>
  <c r="Z55"/>
  <c r="AA55" s="1"/>
  <c r="U55" s="1"/>
  <c r="Z8"/>
  <c r="AA8" s="1"/>
  <c r="U8" s="1"/>
  <c r="Z75"/>
  <c r="AA75" s="1"/>
  <c r="Z69"/>
  <c r="AA69" s="1"/>
  <c r="U69" s="1"/>
  <c r="Z68"/>
  <c r="AA68" s="1"/>
  <c r="Z90"/>
  <c r="AA90" s="1"/>
  <c r="Z89"/>
  <c r="AA89" s="1"/>
  <c r="U89" s="1"/>
  <c r="Z48"/>
  <c r="AA48" s="1"/>
  <c r="Z47"/>
  <c r="AA47" s="1"/>
  <c r="U47" s="1"/>
  <c r="AG39"/>
  <c r="AH39" s="1"/>
  <c r="AG87"/>
  <c r="AH87" s="1"/>
  <c r="AB87" s="1"/>
  <c r="AG86"/>
  <c r="AH86" s="1"/>
  <c r="AG82"/>
  <c r="AH82" s="1"/>
  <c r="AB82" s="1"/>
  <c r="AG81"/>
  <c r="AH81" s="1"/>
  <c r="AB81" s="1"/>
  <c r="AG80"/>
  <c r="AH80" s="1"/>
  <c r="AB80" s="1"/>
  <c r="AG30"/>
  <c r="AH30" s="1"/>
  <c r="AB30" s="1"/>
  <c r="AG23"/>
  <c r="AH23" s="1"/>
  <c r="AB23" s="1"/>
  <c r="AG22"/>
  <c r="AH22" s="1"/>
  <c r="AB22" s="1"/>
  <c r="AG19"/>
  <c r="AH19" s="1"/>
  <c r="AG18"/>
  <c r="AH18" s="1"/>
  <c r="AB18" s="1"/>
  <c r="AG17"/>
  <c r="AH17" s="1"/>
  <c r="AB17" s="1"/>
  <c r="AG61"/>
  <c r="AH61" s="1"/>
  <c r="AB61" s="1"/>
  <c r="AG60"/>
  <c r="AH60" s="1"/>
  <c r="AG53"/>
  <c r="AH53" s="1"/>
  <c r="AG74"/>
  <c r="AH74" s="1"/>
  <c r="AB74" s="1"/>
  <c r="AG67"/>
  <c r="AH67" s="1"/>
  <c r="AB67" s="1"/>
  <c r="AG66"/>
  <c r="AH66" s="1"/>
  <c r="AG5"/>
  <c r="AH5" s="1"/>
  <c r="AG43"/>
  <c r="AH43" s="1"/>
  <c r="AB43" s="1"/>
  <c r="AG110"/>
  <c r="AH110" s="1"/>
  <c r="AN39"/>
  <c r="AO39" s="1"/>
  <c r="AN86"/>
  <c r="AO86" s="1"/>
  <c r="AN83"/>
  <c r="AO83" s="1"/>
  <c r="AN101"/>
  <c r="AO101" s="1"/>
  <c r="AN80"/>
  <c r="AO80" s="1"/>
  <c r="AN76"/>
  <c r="AO76" s="1"/>
  <c r="AN31"/>
  <c r="AO31" s="1"/>
  <c r="AN30"/>
  <c r="AO30" s="1"/>
  <c r="AN23"/>
  <c r="AO23" s="1"/>
  <c r="AN22"/>
  <c r="AO22" s="1"/>
  <c r="AN103"/>
  <c r="AO103" s="1"/>
  <c r="AN98"/>
  <c r="AO98" s="1"/>
  <c r="AN16"/>
  <c r="AO16" s="1"/>
  <c r="AN117"/>
  <c r="AO117" s="1"/>
  <c r="AN13"/>
  <c r="AO13" s="1"/>
  <c r="AN12"/>
  <c r="AO12" s="1"/>
  <c r="AN57"/>
  <c r="AO57" s="1"/>
  <c r="AN56"/>
  <c r="AO56" s="1"/>
  <c r="AN9"/>
  <c r="AO9" s="1"/>
  <c r="AN8"/>
  <c r="AO8" s="1"/>
  <c r="AN69"/>
  <c r="AO69" s="1"/>
  <c r="AN68"/>
  <c r="AO68" s="1"/>
  <c r="AN90"/>
  <c r="AO90" s="1"/>
  <c r="AN89"/>
  <c r="AO89" s="1"/>
  <c r="AN48"/>
  <c r="AO48" s="1"/>
  <c r="AN47"/>
  <c r="AO47" s="1"/>
  <c r="L38"/>
  <c r="M38" s="1"/>
  <c r="L45"/>
  <c r="M45" s="1"/>
  <c r="L84"/>
  <c r="M84" s="1"/>
  <c r="L79"/>
  <c r="M79" s="1"/>
  <c r="L77"/>
  <c r="M77" s="1"/>
  <c r="L39"/>
  <c r="M39" s="1"/>
  <c r="L111"/>
  <c r="M111" s="1"/>
  <c r="L86"/>
  <c r="M86" s="1"/>
  <c r="L83"/>
  <c r="M83" s="1"/>
  <c r="L101"/>
  <c r="M101" s="1"/>
  <c r="L99"/>
  <c r="M99" s="1"/>
  <c r="L80"/>
  <c r="M80" s="1"/>
  <c r="L78"/>
  <c r="M78" s="1"/>
  <c r="L76"/>
  <c r="M76" s="1"/>
  <c r="S38"/>
  <c r="T38" s="1"/>
  <c r="N38" s="1"/>
  <c r="S111"/>
  <c r="T111" s="1"/>
  <c r="S86"/>
  <c r="T86" s="1"/>
  <c r="S83"/>
  <c r="T83" s="1"/>
  <c r="S100"/>
  <c r="T100" s="1"/>
  <c r="S77"/>
  <c r="T77" s="1"/>
  <c r="S37"/>
  <c r="T37" s="1"/>
  <c r="S35"/>
  <c r="T35" s="1"/>
  <c r="S33"/>
  <c r="T33" s="1"/>
  <c r="S31"/>
  <c r="T31" s="1"/>
  <c r="S29"/>
  <c r="T29" s="1"/>
  <c r="S27"/>
  <c r="T27" s="1"/>
  <c r="S25"/>
  <c r="T25" s="1"/>
  <c r="S23"/>
  <c r="T23" s="1"/>
  <c r="N23" s="1"/>
  <c r="S19"/>
  <c r="T19" s="1"/>
  <c r="S97"/>
  <c r="T97" s="1"/>
  <c r="S18"/>
  <c r="T18" s="1"/>
  <c r="N18" s="1"/>
  <c r="S14"/>
  <c r="T14" s="1"/>
  <c r="N14" s="1"/>
  <c r="S12"/>
  <c r="T12" s="1"/>
  <c r="N12" s="1"/>
  <c r="S62"/>
  <c r="T62" s="1"/>
  <c r="N62" s="1"/>
  <c r="S60"/>
  <c r="T60" s="1"/>
  <c r="S58"/>
  <c r="T58" s="1"/>
  <c r="N58" s="1"/>
  <c r="S56"/>
  <c r="T56" s="1"/>
  <c r="N56" s="1"/>
  <c r="S54"/>
  <c r="T54" s="1"/>
  <c r="N54" s="1"/>
  <c r="S75"/>
  <c r="T75" s="1"/>
  <c r="S71"/>
  <c r="T71" s="1"/>
  <c r="S67"/>
  <c r="T67" s="1"/>
  <c r="S109"/>
  <c r="T109" s="1"/>
  <c r="L63"/>
  <c r="M63" s="1"/>
  <c r="L87"/>
  <c r="M87" s="1"/>
  <c r="L85"/>
  <c r="M85" s="1"/>
  <c r="L82"/>
  <c r="M82" s="1"/>
  <c r="L100"/>
  <c r="M100" s="1"/>
  <c r="L81"/>
  <c r="M81" s="1"/>
  <c r="S39"/>
  <c r="T39" s="1"/>
  <c r="N39" s="1"/>
  <c r="S45"/>
  <c r="T45" s="1"/>
  <c r="N45" s="1"/>
  <c r="E140" s="1"/>
  <c r="K140" s="1"/>
  <c r="S87"/>
  <c r="T87" s="1"/>
  <c r="S85"/>
  <c r="T85" s="1"/>
  <c r="N85" s="1"/>
  <c r="S84"/>
  <c r="T84" s="1"/>
  <c r="N84" s="1"/>
  <c r="S82"/>
  <c r="T82" s="1"/>
  <c r="N82" s="1"/>
  <c r="S101"/>
  <c r="T101" s="1"/>
  <c r="S78"/>
  <c r="T78" s="1"/>
  <c r="N78" s="1"/>
  <c r="S76"/>
  <c r="T76" s="1"/>
  <c r="S36"/>
  <c r="T36" s="1"/>
  <c r="S34"/>
  <c r="T34" s="1"/>
  <c r="N34" s="1"/>
  <c r="S32"/>
  <c r="T32" s="1"/>
  <c r="N32" s="1"/>
  <c r="S30"/>
  <c r="T30" s="1"/>
  <c r="S28"/>
  <c r="T28" s="1"/>
  <c r="S26"/>
  <c r="T26" s="1"/>
  <c r="S24"/>
  <c r="T24" s="1"/>
  <c r="S22"/>
  <c r="T22" s="1"/>
  <c r="S114"/>
  <c r="T114" s="1"/>
  <c r="S13"/>
  <c r="T13" s="1"/>
  <c r="N13" s="1"/>
  <c r="S11"/>
  <c r="T11" s="1"/>
  <c r="N11" s="1"/>
  <c r="S61"/>
  <c r="T61" s="1"/>
  <c r="S59"/>
  <c r="T59" s="1"/>
  <c r="N59" s="1"/>
  <c r="S57"/>
  <c r="T57" s="1"/>
  <c r="N57" s="1"/>
  <c r="S55"/>
  <c r="T55" s="1"/>
  <c r="N55" s="1"/>
  <c r="S53"/>
  <c r="T53" s="1"/>
  <c r="S90"/>
  <c r="T90" s="1"/>
  <c r="S4"/>
  <c r="T4" s="1"/>
  <c r="N4" s="1"/>
  <c r="S50"/>
  <c r="T50" s="1"/>
  <c r="N50" s="1"/>
  <c r="S48"/>
  <c r="T48" s="1"/>
  <c r="N48" s="1"/>
  <c r="S43"/>
  <c r="T43" s="1"/>
  <c r="S20"/>
  <c r="T20" s="1"/>
  <c r="N20" s="1"/>
  <c r="S118"/>
  <c r="T118" s="1"/>
  <c r="S98"/>
  <c r="T98" s="1"/>
  <c r="S94"/>
  <c r="T94" s="1"/>
  <c r="S17"/>
  <c r="T17" s="1"/>
  <c r="S117"/>
  <c r="T117" s="1"/>
  <c r="N117" s="1"/>
  <c r="S10"/>
  <c r="T10" s="1"/>
  <c r="N10" s="1"/>
  <c r="S8"/>
  <c r="T8" s="1"/>
  <c r="N8" s="1"/>
  <c r="S74"/>
  <c r="T74" s="1"/>
  <c r="S72"/>
  <c r="T72" s="1"/>
  <c r="S70"/>
  <c r="T70" s="1"/>
  <c r="S68"/>
  <c r="T68" s="1"/>
  <c r="S66"/>
  <c r="T66" s="1"/>
  <c r="S93"/>
  <c r="T93" s="1"/>
  <c r="S108"/>
  <c r="T108" s="1"/>
  <c r="N108" s="1"/>
  <c r="Z39"/>
  <c r="AA39" s="1"/>
  <c r="U39" s="1"/>
  <c r="Z86"/>
  <c r="AA86" s="1"/>
  <c r="U86" s="1"/>
  <c r="Z83"/>
  <c r="AA83" s="1"/>
  <c r="U83" s="1"/>
  <c r="Z101"/>
  <c r="AA101" s="1"/>
  <c r="U101" s="1"/>
  <c r="Z78"/>
  <c r="AA78" s="1"/>
  <c r="U78" s="1"/>
  <c r="Z34"/>
  <c r="AA34" s="1"/>
  <c r="U34" s="1"/>
  <c r="Z33"/>
  <c r="AA33" s="1"/>
  <c r="U33" s="1"/>
  <c r="Z29"/>
  <c r="AA29" s="1"/>
  <c r="U29" s="1"/>
  <c r="Z25"/>
  <c r="AA25" s="1"/>
  <c r="U25" s="1"/>
  <c r="Z20"/>
  <c r="AA20" s="1"/>
  <c r="U20" s="1"/>
  <c r="Z19"/>
  <c r="AA19" s="1"/>
  <c r="U19" s="1"/>
  <c r="Z116"/>
  <c r="AA116" s="1"/>
  <c r="U116" s="1"/>
  <c r="Z113"/>
  <c r="AA113" s="1"/>
  <c r="U113" s="1"/>
  <c r="Z12"/>
  <c r="AA12" s="1"/>
  <c r="U12" s="1"/>
  <c r="Z60"/>
  <c r="AA60" s="1"/>
  <c r="U60" s="1"/>
  <c r="Z53"/>
  <c r="AA53" s="1"/>
  <c r="U53" s="1"/>
  <c r="Z9"/>
  <c r="AA9" s="1"/>
  <c r="U9" s="1"/>
  <c r="Z73"/>
  <c r="AA73" s="1"/>
  <c r="U73" s="1"/>
  <c r="Z66"/>
  <c r="AA66" s="1"/>
  <c r="U66" s="1"/>
  <c r="Z91"/>
  <c r="AA91" s="1"/>
  <c r="U91" s="1"/>
  <c r="Z5"/>
  <c r="AA5" s="1"/>
  <c r="U5" s="1"/>
  <c r="Z49"/>
  <c r="AA49" s="1"/>
  <c r="U49" s="1"/>
  <c r="Z110"/>
  <c r="AA110" s="1"/>
  <c r="U110" s="1"/>
  <c r="AG111"/>
  <c r="AH111" s="1"/>
  <c r="AB111" s="1"/>
  <c r="AG83"/>
  <c r="AH83" s="1"/>
  <c r="AB83" s="1"/>
  <c r="AG99"/>
  <c r="AH99" s="1"/>
  <c r="AB99" s="1"/>
  <c r="AG78"/>
  <c r="AH78" s="1"/>
  <c r="AB78" s="1"/>
  <c r="AG31"/>
  <c r="AH31" s="1"/>
  <c r="AB31" s="1"/>
  <c r="AG28"/>
  <c r="AH28" s="1"/>
  <c r="AB28" s="1"/>
  <c r="AG24"/>
  <c r="AH24" s="1"/>
  <c r="AB24" s="1"/>
  <c r="AG20"/>
  <c r="AH20" s="1"/>
  <c r="AB20" s="1"/>
  <c r="AG98"/>
  <c r="AH98" s="1"/>
  <c r="AB98" s="1"/>
  <c r="AG94"/>
  <c r="AH94" s="1"/>
  <c r="AB94" s="1"/>
  <c r="AG117"/>
  <c r="AH117" s="1"/>
  <c r="AB117" s="1"/>
  <c r="AG62"/>
  <c r="AH62" s="1"/>
  <c r="AB62" s="1"/>
  <c r="AG58"/>
  <c r="AH58" s="1"/>
  <c r="AB58" s="1"/>
  <c r="AG54"/>
  <c r="AH54" s="1"/>
  <c r="AB54" s="1"/>
  <c r="AG10"/>
  <c r="AH10" s="1"/>
  <c r="AB10" s="1"/>
  <c r="AG9"/>
  <c r="AH9" s="1"/>
  <c r="AB9" s="1"/>
  <c r="AG72"/>
  <c r="AH72" s="1"/>
  <c r="AB72" s="1"/>
  <c r="AG68"/>
  <c r="AH68" s="1"/>
  <c r="AB68" s="1"/>
  <c r="AG93"/>
  <c r="AH93" s="1"/>
  <c r="AB93" s="1"/>
  <c r="AG89"/>
  <c r="AH89" s="1"/>
  <c r="AB89" s="1"/>
  <c r="AG51"/>
  <c r="AH51" s="1"/>
  <c r="AB51" s="1"/>
  <c r="AG47"/>
  <c r="AH47" s="1"/>
  <c r="AB47" s="1"/>
  <c r="AG108"/>
  <c r="AH108" s="1"/>
  <c r="AB108" s="1"/>
  <c r="AN111"/>
  <c r="AO111" s="1"/>
  <c r="AN99"/>
  <c r="AO99" s="1"/>
  <c r="AN78"/>
  <c r="AO78" s="1"/>
  <c r="AN36"/>
  <c r="AO36" s="1"/>
  <c r="AN32"/>
  <c r="AO32" s="1"/>
  <c r="AN28"/>
  <c r="AO28" s="1"/>
  <c r="AN24"/>
  <c r="AO24" s="1"/>
  <c r="AN20"/>
  <c r="AO20" s="1"/>
  <c r="AN17"/>
  <c r="AO17" s="1"/>
  <c r="AN115"/>
  <c r="AO115" s="1"/>
  <c r="AN14"/>
  <c r="AO14" s="1"/>
  <c r="AN62"/>
  <c r="AO62" s="1"/>
  <c r="AN58"/>
  <c r="AO58" s="1"/>
  <c r="AN54"/>
  <c r="AO54" s="1"/>
  <c r="AN10"/>
  <c r="AO10" s="1"/>
  <c r="AN74"/>
  <c r="AO74" s="1"/>
  <c r="AN70"/>
  <c r="AO70" s="1"/>
  <c r="AN66"/>
  <c r="AO66" s="1"/>
  <c r="AN91"/>
  <c r="AO91" s="1"/>
  <c r="AN5"/>
  <c r="AO5" s="1"/>
  <c r="AN49"/>
  <c r="AO49" s="1"/>
  <c r="AN110"/>
  <c r="AO110" s="1"/>
  <c r="AG106"/>
  <c r="AH106" s="1"/>
  <c r="AB106" s="1"/>
  <c r="L37"/>
  <c r="M37" s="1"/>
  <c r="L36"/>
  <c r="M36" s="1"/>
  <c r="L35"/>
  <c r="M35" s="1"/>
  <c r="L34"/>
  <c r="M34" s="1"/>
  <c r="L33"/>
  <c r="M33" s="1"/>
  <c r="L32"/>
  <c r="M32" s="1"/>
  <c r="L31"/>
  <c r="M31" s="1"/>
  <c r="L30"/>
  <c r="M30" s="1"/>
  <c r="L29"/>
  <c r="M29" s="1"/>
  <c r="L28"/>
  <c r="M28" s="1"/>
  <c r="L27"/>
  <c r="M27" s="1"/>
  <c r="L26"/>
  <c r="M26" s="1"/>
  <c r="L25"/>
  <c r="M25" s="1"/>
  <c r="L24"/>
  <c r="M24" s="1"/>
  <c r="L23"/>
  <c r="M23" s="1"/>
  <c r="L22"/>
  <c r="M22" s="1"/>
  <c r="L21"/>
  <c r="M21" s="1"/>
  <c r="L20"/>
  <c r="M20" s="1"/>
  <c r="L118"/>
  <c r="M118" s="1"/>
  <c r="L19"/>
  <c r="M19" s="1"/>
  <c r="L103"/>
  <c r="M103" s="1"/>
  <c r="L98"/>
  <c r="M98" s="1"/>
  <c r="L97"/>
  <c r="M97" s="1"/>
  <c r="L95"/>
  <c r="M95" s="1"/>
  <c r="L94"/>
  <c r="M94" s="1"/>
  <c r="L18"/>
  <c r="M18" s="1"/>
  <c r="L17"/>
  <c r="M17" s="1"/>
  <c r="L16"/>
  <c r="M16" s="1"/>
  <c r="L117"/>
  <c r="M117" s="1"/>
  <c r="L116"/>
  <c r="M116" s="1"/>
  <c r="L115"/>
  <c r="M115" s="1"/>
  <c r="L114"/>
  <c r="M114" s="1"/>
  <c r="L113"/>
  <c r="M113" s="1"/>
  <c r="L15"/>
  <c r="M15" s="1"/>
  <c r="L14"/>
  <c r="M14" s="1"/>
  <c r="L13"/>
  <c r="M13" s="1"/>
  <c r="L12"/>
  <c r="M12" s="1"/>
  <c r="L11"/>
  <c r="M11" s="1"/>
  <c r="L62"/>
  <c r="M62" s="1"/>
  <c r="L61"/>
  <c r="M61" s="1"/>
  <c r="L60"/>
  <c r="M60" s="1"/>
  <c r="L59"/>
  <c r="M59" s="1"/>
  <c r="L58"/>
  <c r="M58" s="1"/>
  <c r="L57"/>
  <c r="M57" s="1"/>
  <c r="L56"/>
  <c r="M56" s="1"/>
  <c r="L55"/>
  <c r="M55" s="1"/>
  <c r="L54"/>
  <c r="M54" s="1"/>
  <c r="L53"/>
  <c r="M53" s="1"/>
  <c r="L10"/>
  <c r="M10" s="1"/>
  <c r="L9"/>
  <c r="M9" s="1"/>
  <c r="L8"/>
  <c r="M8" s="1"/>
  <c r="L75"/>
  <c r="M75" s="1"/>
  <c r="L74"/>
  <c r="M74" s="1"/>
  <c r="L73"/>
  <c r="M73" s="1"/>
  <c r="L72"/>
  <c r="M72" s="1"/>
  <c r="L71"/>
  <c r="M71" s="1"/>
  <c r="L70"/>
  <c r="M70" s="1"/>
  <c r="L69"/>
  <c r="M69" s="1"/>
  <c r="L68"/>
  <c r="M68" s="1"/>
  <c r="L67"/>
  <c r="M67" s="1"/>
  <c r="L66"/>
  <c r="M66" s="1"/>
  <c r="L65"/>
  <c r="M65" s="1"/>
  <c r="L93"/>
  <c r="M93" s="1"/>
  <c r="L92"/>
  <c r="M92" s="1"/>
  <c r="N92" s="1"/>
  <c r="L91"/>
  <c r="M91" s="1"/>
  <c r="L90"/>
  <c r="M90" s="1"/>
  <c r="L89"/>
  <c r="M89" s="1"/>
  <c r="L5"/>
  <c r="M5" s="1"/>
  <c r="L4"/>
  <c r="M4" s="1"/>
  <c r="L51"/>
  <c r="M51" s="1"/>
  <c r="L50"/>
  <c r="M50" s="1"/>
  <c r="L49"/>
  <c r="M49" s="1"/>
  <c r="L48"/>
  <c r="M48" s="1"/>
  <c r="L47"/>
  <c r="M47" s="1"/>
  <c r="L43"/>
  <c r="M43" s="1"/>
  <c r="L110"/>
  <c r="M110" s="1"/>
  <c r="L109"/>
  <c r="M109" s="1"/>
  <c r="L108"/>
  <c r="M108" s="1"/>
  <c r="L107"/>
  <c r="M107" s="1"/>
  <c r="N76" l="1"/>
  <c r="N101"/>
  <c r="N87"/>
  <c r="N86"/>
  <c r="N77"/>
  <c r="N83"/>
  <c r="N111"/>
  <c r="U46"/>
  <c r="U40"/>
  <c r="AB64"/>
  <c r="AB7"/>
  <c r="AB119"/>
  <c r="AB105"/>
  <c r="G151" s="1"/>
  <c r="M151" s="1"/>
  <c r="S151" s="1"/>
  <c r="AP110"/>
  <c r="AI110"/>
  <c r="AP5"/>
  <c r="AI5"/>
  <c r="AP66"/>
  <c r="AI66"/>
  <c r="AP74"/>
  <c r="AI74"/>
  <c r="AP54"/>
  <c r="AI54"/>
  <c r="AP62"/>
  <c r="AI62"/>
  <c r="AP115"/>
  <c r="AI115"/>
  <c r="AP20"/>
  <c r="AI20"/>
  <c r="AP28"/>
  <c r="AI28"/>
  <c r="AP36"/>
  <c r="AI36"/>
  <c r="AP99"/>
  <c r="AI99"/>
  <c r="AP48"/>
  <c r="AI48"/>
  <c r="AP90"/>
  <c r="AI90"/>
  <c r="AP69"/>
  <c r="AI69"/>
  <c r="AP9"/>
  <c r="AI9"/>
  <c r="AP57"/>
  <c r="AI57"/>
  <c r="AP13"/>
  <c r="AI13"/>
  <c r="AP16"/>
  <c r="AI16"/>
  <c r="AP103"/>
  <c r="AI103"/>
  <c r="AP23"/>
  <c r="AI23"/>
  <c r="AP31"/>
  <c r="AI31"/>
  <c r="AP80"/>
  <c r="AI80"/>
  <c r="AP83"/>
  <c r="AI83"/>
  <c r="AP39"/>
  <c r="AI39"/>
  <c r="AP51"/>
  <c r="AI51"/>
  <c r="AP72"/>
  <c r="AI72"/>
  <c r="AP75"/>
  <c r="AI75"/>
  <c r="AP61"/>
  <c r="AI61"/>
  <c r="AP94"/>
  <c r="AI94"/>
  <c r="AP97"/>
  <c r="AI97"/>
  <c r="AP27"/>
  <c r="AI27"/>
  <c r="AP79"/>
  <c r="AI79"/>
  <c r="AP45"/>
  <c r="AI45"/>
  <c r="AP6"/>
  <c r="AI6"/>
  <c r="AP42"/>
  <c r="AI42"/>
  <c r="AP46"/>
  <c r="AI46"/>
  <c r="AP64"/>
  <c r="AI64"/>
  <c r="AP96"/>
  <c r="AI96"/>
  <c r="AP104"/>
  <c r="AI104"/>
  <c r="AP112"/>
  <c r="AI112"/>
  <c r="AP53"/>
  <c r="AI53"/>
  <c r="AP59"/>
  <c r="AI59"/>
  <c r="AP21"/>
  <c r="AI21"/>
  <c r="AP100"/>
  <c r="AI100"/>
  <c r="U7"/>
  <c r="AP109"/>
  <c r="AI109"/>
  <c r="AP50"/>
  <c r="AI50"/>
  <c r="AP113"/>
  <c r="AI113"/>
  <c r="AP116"/>
  <c r="AI116"/>
  <c r="AP19"/>
  <c r="AI19"/>
  <c r="AP87"/>
  <c r="AI87"/>
  <c r="AP84"/>
  <c r="AI84"/>
  <c r="AP35"/>
  <c r="AI35"/>
  <c r="AP77"/>
  <c r="AI77"/>
  <c r="AP65"/>
  <c r="AI65"/>
  <c r="AP71"/>
  <c r="AI71"/>
  <c r="AP93"/>
  <c r="AI93"/>
  <c r="N66"/>
  <c r="N70"/>
  <c r="N74"/>
  <c r="N17"/>
  <c r="N98"/>
  <c r="N53"/>
  <c r="N61"/>
  <c r="N22"/>
  <c r="N26"/>
  <c r="N30"/>
  <c r="N67"/>
  <c r="N75"/>
  <c r="N60"/>
  <c r="E144" s="1"/>
  <c r="N19"/>
  <c r="N25"/>
  <c r="N29"/>
  <c r="N33"/>
  <c r="N37"/>
  <c r="N100"/>
  <c r="AB66"/>
  <c r="AB60"/>
  <c r="G144" s="1"/>
  <c r="M144" s="1"/>
  <c r="K193" s="1"/>
  <c r="AB19"/>
  <c r="U68"/>
  <c r="U75"/>
  <c r="U62"/>
  <c r="U98"/>
  <c r="U22"/>
  <c r="U24"/>
  <c r="U32"/>
  <c r="U100"/>
  <c r="U45"/>
  <c r="F140" s="1"/>
  <c r="L140" s="1"/>
  <c r="N69"/>
  <c r="AB49"/>
  <c r="AB116"/>
  <c r="AB34"/>
  <c r="AB45"/>
  <c r="U109"/>
  <c r="U93"/>
  <c r="U67"/>
  <c r="U114"/>
  <c r="U97"/>
  <c r="F147" s="1"/>
  <c r="L147" s="1"/>
  <c r="U28"/>
  <c r="U87"/>
  <c r="N5"/>
  <c r="N91"/>
  <c r="AB69"/>
  <c r="AB15"/>
  <c r="AB114"/>
  <c r="AB27"/>
  <c r="AB32"/>
  <c r="U107"/>
  <c r="U72"/>
  <c r="U17"/>
  <c r="U36"/>
  <c r="U76"/>
  <c r="U84"/>
  <c r="U63"/>
  <c r="N41"/>
  <c r="E138" s="1"/>
  <c r="AB6"/>
  <c r="N81"/>
  <c r="N96"/>
  <c r="N7"/>
  <c r="AB107"/>
  <c r="AB48"/>
  <c r="AB97"/>
  <c r="U51"/>
  <c r="U21"/>
  <c r="U35"/>
  <c r="N80"/>
  <c r="AB112"/>
  <c r="N102"/>
  <c r="AB46"/>
  <c r="U50"/>
  <c r="N6"/>
  <c r="N99"/>
  <c r="AB76"/>
  <c r="AB79"/>
  <c r="AB11"/>
  <c r="U61"/>
  <c r="N119"/>
  <c r="AB8"/>
  <c r="U118"/>
  <c r="AI106"/>
  <c r="AP49"/>
  <c r="AI49"/>
  <c r="AP91"/>
  <c r="AI91"/>
  <c r="AP70"/>
  <c r="AI70"/>
  <c r="AP10"/>
  <c r="AI10"/>
  <c r="AP58"/>
  <c r="AI58"/>
  <c r="H144" s="1"/>
  <c r="N144" s="1"/>
  <c r="L193" s="1"/>
  <c r="AP14"/>
  <c r="AI14"/>
  <c r="AP17"/>
  <c r="AI17"/>
  <c r="AP24"/>
  <c r="AI24"/>
  <c r="AP32"/>
  <c r="AI32"/>
  <c r="AP78"/>
  <c r="AI78"/>
  <c r="AP111"/>
  <c r="AI111"/>
  <c r="N43"/>
  <c r="AP47"/>
  <c r="AI47"/>
  <c r="AP89"/>
  <c r="AI89"/>
  <c r="AP68"/>
  <c r="AI68"/>
  <c r="AP8"/>
  <c r="AI8"/>
  <c r="AP56"/>
  <c r="AI56"/>
  <c r="AP12"/>
  <c r="AI12"/>
  <c r="AP117"/>
  <c r="AI117"/>
  <c r="AP98"/>
  <c r="AI98"/>
  <c r="AP22"/>
  <c r="AI22"/>
  <c r="AP30"/>
  <c r="AI30"/>
  <c r="AP76"/>
  <c r="AI76"/>
  <c r="AP101"/>
  <c r="AI101"/>
  <c r="AP86"/>
  <c r="AI86"/>
  <c r="AP4"/>
  <c r="AI4"/>
  <c r="AP73"/>
  <c r="AI73"/>
  <c r="AP60"/>
  <c r="AI60"/>
  <c r="AP11"/>
  <c r="AI11"/>
  <c r="AP95"/>
  <c r="AI95"/>
  <c r="AP26"/>
  <c r="AI26"/>
  <c r="AP29"/>
  <c r="AI29"/>
  <c r="AP82"/>
  <c r="AI82"/>
  <c r="AP38"/>
  <c r="AI38"/>
  <c r="AP7"/>
  <c r="AI7"/>
  <c r="AP44"/>
  <c r="AI44"/>
  <c r="AP52"/>
  <c r="AI52"/>
  <c r="AP88"/>
  <c r="AI88"/>
  <c r="AP102"/>
  <c r="AI102"/>
  <c r="AP105"/>
  <c r="I151" s="1"/>
  <c r="O151" s="1"/>
  <c r="AI105"/>
  <c r="H151" s="1"/>
  <c r="N151" s="1"/>
  <c r="AP119"/>
  <c r="AI119"/>
  <c r="AP55"/>
  <c r="AI55"/>
  <c r="AP118"/>
  <c r="AI118"/>
  <c r="AP25"/>
  <c r="AI25"/>
  <c r="AP108"/>
  <c r="AI108"/>
  <c r="AP43"/>
  <c r="I139" s="1"/>
  <c r="O139" s="1"/>
  <c r="M174" s="1"/>
  <c r="AI43"/>
  <c r="H139" s="1"/>
  <c r="N139" s="1"/>
  <c r="L174" s="1"/>
  <c r="AP107"/>
  <c r="I152" s="1"/>
  <c r="O152" s="1"/>
  <c r="M210" s="1"/>
  <c r="AI107"/>
  <c r="AP114"/>
  <c r="AI114"/>
  <c r="AP18"/>
  <c r="AI18"/>
  <c r="AP85"/>
  <c r="AI85"/>
  <c r="AP63"/>
  <c r="AI63"/>
  <c r="AP41"/>
  <c r="I138" s="1"/>
  <c r="O138" s="1"/>
  <c r="AI41"/>
  <c r="H138" s="1"/>
  <c r="N138" s="1"/>
  <c r="AP15"/>
  <c r="AI15"/>
  <c r="AP40"/>
  <c r="AI40"/>
  <c r="AP34"/>
  <c r="AI34"/>
  <c r="AP37"/>
  <c r="AI37"/>
  <c r="AP81"/>
  <c r="AI81"/>
  <c r="N105"/>
  <c r="AP67"/>
  <c r="AI67"/>
  <c r="AP33"/>
  <c r="AI33"/>
  <c r="AP92"/>
  <c r="AI92"/>
  <c r="N93"/>
  <c r="N68"/>
  <c r="N72"/>
  <c r="N94"/>
  <c r="N118"/>
  <c r="N90"/>
  <c r="E146" s="1"/>
  <c r="N114"/>
  <c r="E153" s="1"/>
  <c r="N24"/>
  <c r="N28"/>
  <c r="N36"/>
  <c r="N109"/>
  <c r="N71"/>
  <c r="N97"/>
  <c r="N27"/>
  <c r="N31"/>
  <c r="N35"/>
  <c r="AB110"/>
  <c r="AB5"/>
  <c r="G133" s="1"/>
  <c r="M133" s="1"/>
  <c r="S133" s="1"/>
  <c r="AB53"/>
  <c r="AB86"/>
  <c r="AB39"/>
  <c r="U48"/>
  <c r="F141" s="1"/>
  <c r="L141" s="1"/>
  <c r="J179" s="1"/>
  <c r="U90"/>
  <c r="U31"/>
  <c r="U77"/>
  <c r="U82"/>
  <c r="U38"/>
  <c r="N73"/>
  <c r="AB73"/>
  <c r="AB115"/>
  <c r="AB33"/>
  <c r="AB101"/>
  <c r="U108"/>
  <c r="U43"/>
  <c r="U65"/>
  <c r="U54"/>
  <c r="U27"/>
  <c r="U30"/>
  <c r="U85"/>
  <c r="N107"/>
  <c r="N51"/>
  <c r="E141" s="1"/>
  <c r="K141" s="1"/>
  <c r="I179" s="1"/>
  <c r="N21"/>
  <c r="AB102"/>
  <c r="AB88"/>
  <c r="AB52"/>
  <c r="AB91"/>
  <c r="AB65"/>
  <c r="AB12"/>
  <c r="AB14"/>
  <c r="AB29"/>
  <c r="AB85"/>
  <c r="AB38"/>
  <c r="U71"/>
  <c r="U74"/>
  <c r="U94"/>
  <c r="U37"/>
  <c r="U111"/>
  <c r="N16"/>
  <c r="E135" s="1"/>
  <c r="N103"/>
  <c r="N79"/>
  <c r="N104"/>
  <c r="AB109"/>
  <c r="AB90"/>
  <c r="AB103"/>
  <c r="G149" s="1"/>
  <c r="M149" s="1"/>
  <c r="S149" s="1"/>
  <c r="AB25"/>
  <c r="U4"/>
  <c r="U70"/>
  <c r="U26"/>
  <c r="N95"/>
  <c r="N88"/>
  <c r="AB44"/>
  <c r="G139" s="1"/>
  <c r="M139" s="1"/>
  <c r="K174" s="1"/>
  <c r="N112"/>
  <c r="AB95"/>
  <c r="AB84"/>
  <c r="AB77"/>
  <c r="AB100"/>
  <c r="AB41"/>
  <c r="U59"/>
  <c r="F144" s="1"/>
  <c r="L144" s="1"/>
  <c r="J193" s="1"/>
  <c r="U13"/>
  <c r="AB37"/>
  <c r="U117"/>
  <c r="AB75"/>
  <c r="S144" l="1"/>
  <c r="E193" s="1"/>
  <c r="S139"/>
  <c r="E137"/>
  <c r="E152"/>
  <c r="F142"/>
  <c r="L142" s="1"/>
  <c r="J183" s="1"/>
  <c r="G152"/>
  <c r="M152" s="1"/>
  <c r="K210" s="1"/>
  <c r="F152"/>
  <c r="L152" s="1"/>
  <c r="J210" s="1"/>
  <c r="E145"/>
  <c r="F135"/>
  <c r="L135" s="1"/>
  <c r="J171" s="1"/>
  <c r="G146"/>
  <c r="F146"/>
  <c r="F148" s="1"/>
  <c r="L148" s="1"/>
  <c r="G141"/>
  <c r="G153"/>
  <c r="M153" s="1"/>
  <c r="K211" s="1"/>
  <c r="E126"/>
  <c r="F128"/>
  <c r="L128" s="1"/>
  <c r="J227" s="1"/>
  <c r="K144"/>
  <c r="I193" s="1"/>
  <c r="K145"/>
  <c r="I188" s="1"/>
  <c r="K135"/>
  <c r="I171" s="1"/>
  <c r="K152"/>
  <c r="I210" s="1"/>
  <c r="K137"/>
  <c r="K146"/>
  <c r="M146"/>
  <c r="S146" s="1"/>
  <c r="L146"/>
  <c r="K153"/>
  <c r="I211" s="1"/>
  <c r="M141"/>
  <c r="K179" s="1"/>
  <c r="K126"/>
  <c r="F139"/>
  <c r="L139" s="1"/>
  <c r="J174" s="1"/>
  <c r="E151"/>
  <c r="I136"/>
  <c r="O136" s="1"/>
  <c r="M170" s="1"/>
  <c r="I135"/>
  <c r="O135" s="1"/>
  <c r="M171" s="1"/>
  <c r="H137"/>
  <c r="N137" s="1"/>
  <c r="H128"/>
  <c r="N128" s="1"/>
  <c r="L227" s="1"/>
  <c r="G138"/>
  <c r="M138" s="1"/>
  <c r="S138" s="1"/>
  <c r="G128"/>
  <c r="M128" s="1"/>
  <c r="K227" s="1"/>
  <c r="G137"/>
  <c r="M137" s="1"/>
  <c r="S137" s="1"/>
  <c r="G143"/>
  <c r="M143" s="1"/>
  <c r="S143" s="1"/>
  <c r="G142"/>
  <c r="M142" s="1"/>
  <c r="K183" s="1"/>
  <c r="H134"/>
  <c r="N134" s="1"/>
  <c r="H125"/>
  <c r="H133"/>
  <c r="N133" s="1"/>
  <c r="H126"/>
  <c r="H124"/>
  <c r="N124" s="1"/>
  <c r="H136"/>
  <c r="N136" s="1"/>
  <c r="L170" s="1"/>
  <c r="H135"/>
  <c r="N135" s="1"/>
  <c r="L171" s="1"/>
  <c r="E139"/>
  <c r="I128"/>
  <c r="O128" s="1"/>
  <c r="M227" s="1"/>
  <c r="I137"/>
  <c r="O137" s="1"/>
  <c r="E125"/>
  <c r="E129" s="1"/>
  <c r="K129" s="1"/>
  <c r="I166" s="1"/>
  <c r="E134"/>
  <c r="K134" s="1"/>
  <c r="J138"/>
  <c r="P138" s="1"/>
  <c r="K138"/>
  <c r="E143"/>
  <c r="E142"/>
  <c r="F134"/>
  <c r="F125"/>
  <c r="I143"/>
  <c r="O143" s="1"/>
  <c r="I142"/>
  <c r="O142" s="1"/>
  <c r="M183" s="1"/>
  <c r="I141"/>
  <c r="O141" s="1"/>
  <c r="M179" s="1"/>
  <c r="E149"/>
  <c r="G145"/>
  <c r="M145" s="1"/>
  <c r="K188" s="1"/>
  <c r="F145"/>
  <c r="L145" s="1"/>
  <c r="J188" s="1"/>
  <c r="E147"/>
  <c r="T138"/>
  <c r="T139"/>
  <c r="F174" s="1"/>
  <c r="T151"/>
  <c r="H146"/>
  <c r="H141"/>
  <c r="N141" s="1"/>
  <c r="L179" s="1"/>
  <c r="I144"/>
  <c r="O144" s="1"/>
  <c r="M193" s="1"/>
  <c r="E127"/>
  <c r="G140"/>
  <c r="M140" s="1"/>
  <c r="S140" s="1"/>
  <c r="H145"/>
  <c r="N145" s="1"/>
  <c r="L188" s="1"/>
  <c r="H153"/>
  <c r="N153" s="1"/>
  <c r="L211" s="1"/>
  <c r="I127"/>
  <c r="I140"/>
  <c r="I147"/>
  <c r="O147" s="1"/>
  <c r="I149"/>
  <c r="O149" s="1"/>
  <c r="F136"/>
  <c r="L136" s="1"/>
  <c r="J170" s="1"/>
  <c r="E128"/>
  <c r="E136"/>
  <c r="F137"/>
  <c r="L137" s="1"/>
  <c r="G126"/>
  <c r="E124"/>
  <c r="E133"/>
  <c r="F143"/>
  <c r="L143" s="1"/>
  <c r="F133"/>
  <c r="L133" s="1"/>
  <c r="F126"/>
  <c r="F124"/>
  <c r="L124" s="1"/>
  <c r="I125"/>
  <c r="I134"/>
  <c r="O134" s="1"/>
  <c r="I133"/>
  <c r="O133" s="1"/>
  <c r="I126"/>
  <c r="I124"/>
  <c r="O124" s="1"/>
  <c r="G136"/>
  <c r="M136" s="1"/>
  <c r="K170" s="1"/>
  <c r="G135"/>
  <c r="M135" s="1"/>
  <c r="K171" s="1"/>
  <c r="H143"/>
  <c r="N143" s="1"/>
  <c r="T143" s="1"/>
  <c r="H142"/>
  <c r="N142" s="1"/>
  <c r="L183" s="1"/>
  <c r="G125"/>
  <c r="G134"/>
  <c r="M134" s="1"/>
  <c r="S134" s="1"/>
  <c r="I146"/>
  <c r="T144"/>
  <c r="F193" s="1"/>
  <c r="H152"/>
  <c r="N152" s="1"/>
  <c r="L210" s="1"/>
  <c r="G147"/>
  <c r="M147" s="1"/>
  <c r="S147" s="1"/>
  <c r="G127"/>
  <c r="I145"/>
  <c r="O145" s="1"/>
  <c r="M188" s="1"/>
  <c r="I153"/>
  <c r="O153" s="1"/>
  <c r="M211" s="1"/>
  <c r="H127"/>
  <c r="H140"/>
  <c r="N140" s="1"/>
  <c r="H147"/>
  <c r="N147" s="1"/>
  <c r="T147" s="1"/>
  <c r="H149"/>
  <c r="N149" s="1"/>
  <c r="T149" s="1"/>
  <c r="F127"/>
  <c r="F153"/>
  <c r="L153" s="1"/>
  <c r="J211" s="1"/>
  <c r="G124"/>
  <c r="M124" s="1"/>
  <c r="O86" i="26"/>
  <c r="O85"/>
  <c r="O84"/>
  <c r="O83"/>
  <c r="O82"/>
  <c r="O81"/>
  <c r="O80"/>
  <c r="O79"/>
  <c r="O78"/>
  <c r="O77"/>
  <c r="O76"/>
  <c r="O75"/>
  <c r="O74"/>
  <c r="F121"/>
  <c r="F120"/>
  <c r="F119"/>
  <c r="F118"/>
  <c r="F117"/>
  <c r="F116"/>
  <c r="F115"/>
  <c r="F114"/>
  <c r="F113"/>
  <c r="F112"/>
  <c r="F111"/>
  <c r="F110"/>
  <c r="F109"/>
  <c r="C137"/>
  <c r="C136"/>
  <c r="C135"/>
  <c r="C134"/>
  <c r="C133"/>
  <c r="C132"/>
  <c r="C131"/>
  <c r="C130"/>
  <c r="C129"/>
  <c r="C128"/>
  <c r="C127"/>
  <c r="C126"/>
  <c r="C125"/>
  <c r="C121"/>
  <c r="C120"/>
  <c r="C119"/>
  <c r="C118"/>
  <c r="C117"/>
  <c r="C116"/>
  <c r="C115"/>
  <c r="C114"/>
  <c r="C113"/>
  <c r="C112"/>
  <c r="C111"/>
  <c r="C110"/>
  <c r="C109"/>
  <c r="L102"/>
  <c r="L101"/>
  <c r="L100"/>
  <c r="L99"/>
  <c r="L98"/>
  <c r="L97"/>
  <c r="L96"/>
  <c r="L95"/>
  <c r="L94"/>
  <c r="L93"/>
  <c r="L92"/>
  <c r="L91"/>
  <c r="L90"/>
  <c r="I102"/>
  <c r="I101"/>
  <c r="I100"/>
  <c r="I99"/>
  <c r="I98"/>
  <c r="I97"/>
  <c r="I96"/>
  <c r="I95"/>
  <c r="I94"/>
  <c r="I93"/>
  <c r="I92"/>
  <c r="I91"/>
  <c r="I90"/>
  <c r="F102"/>
  <c r="F101"/>
  <c r="F100"/>
  <c r="F99"/>
  <c r="F98"/>
  <c r="F97"/>
  <c r="F96"/>
  <c r="F95"/>
  <c r="F94"/>
  <c r="F93"/>
  <c r="F92"/>
  <c r="F91"/>
  <c r="F90"/>
  <c r="C102"/>
  <c r="C101"/>
  <c r="C100"/>
  <c r="C99"/>
  <c r="C98"/>
  <c r="C97"/>
  <c r="C96"/>
  <c r="C95"/>
  <c r="C94"/>
  <c r="C93"/>
  <c r="C92"/>
  <c r="C91"/>
  <c r="C90"/>
  <c r="C86"/>
  <c r="C85"/>
  <c r="C84"/>
  <c r="C83"/>
  <c r="C82"/>
  <c r="C81"/>
  <c r="C80"/>
  <c r="C79"/>
  <c r="C78"/>
  <c r="C77"/>
  <c r="C76"/>
  <c r="C75"/>
  <c r="C74"/>
  <c r="F86"/>
  <c r="F85"/>
  <c r="F84"/>
  <c r="F83"/>
  <c r="F82"/>
  <c r="F81"/>
  <c r="F80"/>
  <c r="F79"/>
  <c r="F78"/>
  <c r="F77"/>
  <c r="F76"/>
  <c r="F75"/>
  <c r="F74"/>
  <c r="I86"/>
  <c r="I85"/>
  <c r="I84"/>
  <c r="I83"/>
  <c r="I82"/>
  <c r="I81"/>
  <c r="I80"/>
  <c r="I79"/>
  <c r="I78"/>
  <c r="I77"/>
  <c r="I76"/>
  <c r="I75"/>
  <c r="I74"/>
  <c r="L86"/>
  <c r="L85"/>
  <c r="L84"/>
  <c r="L83"/>
  <c r="L82"/>
  <c r="L81"/>
  <c r="L80"/>
  <c r="L79"/>
  <c r="L78"/>
  <c r="L77"/>
  <c r="L76"/>
  <c r="L75"/>
  <c r="L74"/>
  <c r="O67"/>
  <c r="O66"/>
  <c r="O65"/>
  <c r="O64"/>
  <c r="O63"/>
  <c r="O62"/>
  <c r="O61"/>
  <c r="O60"/>
  <c r="O59"/>
  <c r="O58"/>
  <c r="O57"/>
  <c r="O56"/>
  <c r="O55"/>
  <c r="L67"/>
  <c r="L66"/>
  <c r="L65"/>
  <c r="L64"/>
  <c r="L63"/>
  <c r="L62"/>
  <c r="L61"/>
  <c r="L60"/>
  <c r="L59"/>
  <c r="L58"/>
  <c r="L57"/>
  <c r="L56"/>
  <c r="L55"/>
  <c r="I67"/>
  <c r="I66"/>
  <c r="I65"/>
  <c r="I64"/>
  <c r="I63"/>
  <c r="I62"/>
  <c r="I61"/>
  <c r="I60"/>
  <c r="I59"/>
  <c r="I58"/>
  <c r="I57"/>
  <c r="I56"/>
  <c r="I55"/>
  <c r="F67"/>
  <c r="F66"/>
  <c r="F65"/>
  <c r="F64"/>
  <c r="F63"/>
  <c r="F62"/>
  <c r="F61"/>
  <c r="F60"/>
  <c r="F59"/>
  <c r="F58"/>
  <c r="F57"/>
  <c r="F56"/>
  <c r="F55"/>
  <c r="C67"/>
  <c r="C66"/>
  <c r="C65"/>
  <c r="C64"/>
  <c r="C63"/>
  <c r="C62"/>
  <c r="C61"/>
  <c r="C60"/>
  <c r="C59"/>
  <c r="C58"/>
  <c r="C57"/>
  <c r="C56"/>
  <c r="C55"/>
  <c r="O51"/>
  <c r="O50"/>
  <c r="O49"/>
  <c r="O48"/>
  <c r="O47"/>
  <c r="O46"/>
  <c r="O45"/>
  <c r="O44"/>
  <c r="O43"/>
  <c r="O42"/>
  <c r="O41"/>
  <c r="O40"/>
  <c r="O39"/>
  <c r="L51"/>
  <c r="L50"/>
  <c r="L49"/>
  <c r="L48"/>
  <c r="L47"/>
  <c r="L46"/>
  <c r="L45"/>
  <c r="L44"/>
  <c r="L43"/>
  <c r="L42"/>
  <c r="L41"/>
  <c r="L40"/>
  <c r="L39"/>
  <c r="I51"/>
  <c r="I50"/>
  <c r="I49"/>
  <c r="I48"/>
  <c r="I47"/>
  <c r="I46"/>
  <c r="I45"/>
  <c r="I44"/>
  <c r="I43"/>
  <c r="I42"/>
  <c r="I41"/>
  <c r="I40"/>
  <c r="I39"/>
  <c r="F51"/>
  <c r="F50"/>
  <c r="F49"/>
  <c r="F48"/>
  <c r="F47"/>
  <c r="F46"/>
  <c r="F45"/>
  <c r="F44"/>
  <c r="F43"/>
  <c r="F42"/>
  <c r="F41"/>
  <c r="F40"/>
  <c r="F39"/>
  <c r="C51"/>
  <c r="C50"/>
  <c r="C49"/>
  <c r="C48"/>
  <c r="C47"/>
  <c r="C46"/>
  <c r="C45"/>
  <c r="C44"/>
  <c r="C43"/>
  <c r="C42"/>
  <c r="C41"/>
  <c r="C40"/>
  <c r="C39"/>
  <c r="C32"/>
  <c r="C31"/>
  <c r="C30"/>
  <c r="C29"/>
  <c r="C28"/>
  <c r="C27"/>
  <c r="C26"/>
  <c r="C25"/>
  <c r="C24"/>
  <c r="C23"/>
  <c r="C22"/>
  <c r="C21"/>
  <c r="C20"/>
  <c r="F32"/>
  <c r="F31"/>
  <c r="F30"/>
  <c r="F29"/>
  <c r="F28"/>
  <c r="F27"/>
  <c r="F26"/>
  <c r="F25"/>
  <c r="F24"/>
  <c r="F23"/>
  <c r="F22"/>
  <c r="F21"/>
  <c r="F20"/>
  <c r="I32"/>
  <c r="I31"/>
  <c r="I30"/>
  <c r="I29"/>
  <c r="I28"/>
  <c r="I27"/>
  <c r="I26"/>
  <c r="I25"/>
  <c r="I24"/>
  <c r="I23"/>
  <c r="I22"/>
  <c r="I21"/>
  <c r="I20"/>
  <c r="L32"/>
  <c r="L31"/>
  <c r="L30"/>
  <c r="L29"/>
  <c r="L28"/>
  <c r="L27"/>
  <c r="L26"/>
  <c r="L25"/>
  <c r="L24"/>
  <c r="L23"/>
  <c r="L22"/>
  <c r="L21"/>
  <c r="L20"/>
  <c r="O32"/>
  <c r="O31"/>
  <c r="O30"/>
  <c r="O29"/>
  <c r="O28"/>
  <c r="O27"/>
  <c r="O26"/>
  <c r="O25"/>
  <c r="O24"/>
  <c r="O23"/>
  <c r="O22"/>
  <c r="O21"/>
  <c r="O20"/>
  <c r="O16"/>
  <c r="O15"/>
  <c r="O14"/>
  <c r="O13"/>
  <c r="O12"/>
  <c r="O11"/>
  <c r="O10"/>
  <c r="O9"/>
  <c r="O8"/>
  <c r="O7"/>
  <c r="O6"/>
  <c r="O5"/>
  <c r="O4"/>
  <c r="L16"/>
  <c r="L15"/>
  <c r="L14"/>
  <c r="L13"/>
  <c r="L12"/>
  <c r="L11"/>
  <c r="L10"/>
  <c r="L9"/>
  <c r="L8"/>
  <c r="L7"/>
  <c r="L6"/>
  <c r="L5"/>
  <c r="L4"/>
  <c r="I16"/>
  <c r="I15"/>
  <c r="I14"/>
  <c r="I13"/>
  <c r="I12"/>
  <c r="I11"/>
  <c r="I10"/>
  <c r="I9"/>
  <c r="I8"/>
  <c r="I7"/>
  <c r="I6"/>
  <c r="I5"/>
  <c r="I4"/>
  <c r="F16"/>
  <c r="F15"/>
  <c r="F14"/>
  <c r="F13"/>
  <c r="F12"/>
  <c r="F11"/>
  <c r="F10"/>
  <c r="F9"/>
  <c r="F8"/>
  <c r="F7"/>
  <c r="F6"/>
  <c r="F5"/>
  <c r="F4"/>
  <c r="C16"/>
  <c r="C15"/>
  <c r="C14"/>
  <c r="C13"/>
  <c r="C12"/>
  <c r="C11"/>
  <c r="C10"/>
  <c r="C9"/>
  <c r="C8"/>
  <c r="C7"/>
  <c r="C6"/>
  <c r="C5"/>
  <c r="C4"/>
  <c r="O86" i="17"/>
  <c r="O85"/>
  <c r="O84"/>
  <c r="O83"/>
  <c r="O82"/>
  <c r="O81"/>
  <c r="O80"/>
  <c r="O79"/>
  <c r="O78"/>
  <c r="O77"/>
  <c r="O76"/>
  <c r="O75"/>
  <c r="O74"/>
  <c r="F121"/>
  <c r="F120"/>
  <c r="F119"/>
  <c r="F118"/>
  <c r="F117"/>
  <c r="F116"/>
  <c r="F115"/>
  <c r="F114"/>
  <c r="F113"/>
  <c r="F112"/>
  <c r="F111"/>
  <c r="F110"/>
  <c r="F109"/>
  <c r="C137"/>
  <c r="C136"/>
  <c r="C135"/>
  <c r="C134"/>
  <c r="C133"/>
  <c r="C132"/>
  <c r="C131"/>
  <c r="C130"/>
  <c r="C129"/>
  <c r="C128"/>
  <c r="C127"/>
  <c r="C126"/>
  <c r="C125"/>
  <c r="C121"/>
  <c r="C120"/>
  <c r="C119"/>
  <c r="C118"/>
  <c r="C117"/>
  <c r="C116"/>
  <c r="C115"/>
  <c r="C114"/>
  <c r="C113"/>
  <c r="C112"/>
  <c r="C111"/>
  <c r="C110"/>
  <c r="C109"/>
  <c r="C102"/>
  <c r="C101"/>
  <c r="C100"/>
  <c r="C99"/>
  <c r="C98"/>
  <c r="C97"/>
  <c r="C96"/>
  <c r="C95"/>
  <c r="C94"/>
  <c r="C93"/>
  <c r="C92"/>
  <c r="C91"/>
  <c r="C90"/>
  <c r="F102"/>
  <c r="F101"/>
  <c r="F100"/>
  <c r="F99"/>
  <c r="F98"/>
  <c r="F97"/>
  <c r="F96"/>
  <c r="F95"/>
  <c r="F94"/>
  <c r="F93"/>
  <c r="F92"/>
  <c r="F91"/>
  <c r="F90"/>
  <c r="I102"/>
  <c r="I101"/>
  <c r="I100"/>
  <c r="I99"/>
  <c r="I98"/>
  <c r="I97"/>
  <c r="I96"/>
  <c r="I95"/>
  <c r="I94"/>
  <c r="I93"/>
  <c r="I92"/>
  <c r="I91"/>
  <c r="I90"/>
  <c r="L102"/>
  <c r="L101"/>
  <c r="L100"/>
  <c r="L99"/>
  <c r="L98"/>
  <c r="L97"/>
  <c r="L96"/>
  <c r="L95"/>
  <c r="L94"/>
  <c r="L93"/>
  <c r="L92"/>
  <c r="L91"/>
  <c r="L90"/>
  <c r="L86"/>
  <c r="L85"/>
  <c r="L84"/>
  <c r="L83"/>
  <c r="L82"/>
  <c r="L81"/>
  <c r="L80"/>
  <c r="L79"/>
  <c r="L78"/>
  <c r="L77"/>
  <c r="L76"/>
  <c r="L75"/>
  <c r="L74"/>
  <c r="I86"/>
  <c r="I85"/>
  <c r="I84"/>
  <c r="I83"/>
  <c r="I82"/>
  <c r="I81"/>
  <c r="I80"/>
  <c r="I79"/>
  <c r="I78"/>
  <c r="I77"/>
  <c r="I76"/>
  <c r="I75"/>
  <c r="I74"/>
  <c r="F86"/>
  <c r="F85"/>
  <c r="F84"/>
  <c r="F83"/>
  <c r="F82"/>
  <c r="F81"/>
  <c r="F80"/>
  <c r="F79"/>
  <c r="F78"/>
  <c r="F77"/>
  <c r="F76"/>
  <c r="F75"/>
  <c r="F74"/>
  <c r="C86"/>
  <c r="C85"/>
  <c r="C84"/>
  <c r="C83"/>
  <c r="C82"/>
  <c r="C81"/>
  <c r="C80"/>
  <c r="C79"/>
  <c r="C78"/>
  <c r="C77"/>
  <c r="C76"/>
  <c r="C75"/>
  <c r="C74"/>
  <c r="C67"/>
  <c r="C66"/>
  <c r="C65"/>
  <c r="C64"/>
  <c r="C63"/>
  <c r="C62"/>
  <c r="C61"/>
  <c r="C60"/>
  <c r="C59"/>
  <c r="C58"/>
  <c r="C57"/>
  <c r="C56"/>
  <c r="C55"/>
  <c r="F67"/>
  <c r="F66"/>
  <c r="F65"/>
  <c r="F64"/>
  <c r="F63"/>
  <c r="F62"/>
  <c r="F61"/>
  <c r="F60"/>
  <c r="F59"/>
  <c r="F58"/>
  <c r="F57"/>
  <c r="F56"/>
  <c r="F55"/>
  <c r="I67"/>
  <c r="I66"/>
  <c r="I65"/>
  <c r="I64"/>
  <c r="I63"/>
  <c r="I62"/>
  <c r="I61"/>
  <c r="I60"/>
  <c r="I59"/>
  <c r="I58"/>
  <c r="I57"/>
  <c r="I56"/>
  <c r="I55"/>
  <c r="L67"/>
  <c r="L66"/>
  <c r="L65"/>
  <c r="L64"/>
  <c r="L63"/>
  <c r="L62"/>
  <c r="L61"/>
  <c r="L60"/>
  <c r="L59"/>
  <c r="L58"/>
  <c r="L57"/>
  <c r="L56"/>
  <c r="L55"/>
  <c r="O67"/>
  <c r="O66"/>
  <c r="O65"/>
  <c r="O64"/>
  <c r="O63"/>
  <c r="O62"/>
  <c r="O61"/>
  <c r="O60"/>
  <c r="O59"/>
  <c r="O58"/>
  <c r="O57"/>
  <c r="O56"/>
  <c r="O55"/>
  <c r="O51"/>
  <c r="O50"/>
  <c r="O49"/>
  <c r="O48"/>
  <c r="O47"/>
  <c r="O46"/>
  <c r="O45"/>
  <c r="O44"/>
  <c r="O43"/>
  <c r="O42"/>
  <c r="O41"/>
  <c r="O40"/>
  <c r="O39"/>
  <c r="L51"/>
  <c r="L50"/>
  <c r="L49"/>
  <c r="L48"/>
  <c r="L47"/>
  <c r="L46"/>
  <c r="L45"/>
  <c r="L44"/>
  <c r="L43"/>
  <c r="L42"/>
  <c r="L41"/>
  <c r="L40"/>
  <c r="L39"/>
  <c r="I51"/>
  <c r="I50"/>
  <c r="I49"/>
  <c r="I48"/>
  <c r="I47"/>
  <c r="I46"/>
  <c r="I45"/>
  <c r="I44"/>
  <c r="I43"/>
  <c r="I42"/>
  <c r="I41"/>
  <c r="I40"/>
  <c r="I39"/>
  <c r="F51"/>
  <c r="F50"/>
  <c r="F49"/>
  <c r="F48"/>
  <c r="F47"/>
  <c r="F46"/>
  <c r="F45"/>
  <c r="F44"/>
  <c r="F43"/>
  <c r="F42"/>
  <c r="F41"/>
  <c r="F40"/>
  <c r="F39"/>
  <c r="C51"/>
  <c r="C50"/>
  <c r="C49"/>
  <c r="C48"/>
  <c r="C47"/>
  <c r="C46"/>
  <c r="C45"/>
  <c r="C44"/>
  <c r="C43"/>
  <c r="C42"/>
  <c r="C41"/>
  <c r="C40"/>
  <c r="C39"/>
  <c r="C32"/>
  <c r="C31"/>
  <c r="C30"/>
  <c r="C29"/>
  <c r="C28"/>
  <c r="C27"/>
  <c r="C26"/>
  <c r="C25"/>
  <c r="C24"/>
  <c r="C23"/>
  <c r="C22"/>
  <c r="C21"/>
  <c r="C20"/>
  <c r="F32"/>
  <c r="F31"/>
  <c r="F30"/>
  <c r="F29"/>
  <c r="F28"/>
  <c r="F27"/>
  <c r="F26"/>
  <c r="F25"/>
  <c r="F24"/>
  <c r="F23"/>
  <c r="F22"/>
  <c r="F21"/>
  <c r="F20"/>
  <c r="I32"/>
  <c r="I31"/>
  <c r="I30"/>
  <c r="I29"/>
  <c r="I28"/>
  <c r="I27"/>
  <c r="I26"/>
  <c r="I25"/>
  <c r="I24"/>
  <c r="I23"/>
  <c r="I22"/>
  <c r="I21"/>
  <c r="I20"/>
  <c r="L32"/>
  <c r="L31"/>
  <c r="L30"/>
  <c r="L29"/>
  <c r="L28"/>
  <c r="L27"/>
  <c r="L26"/>
  <c r="L25"/>
  <c r="L24"/>
  <c r="L23"/>
  <c r="L22"/>
  <c r="L21"/>
  <c r="L20"/>
  <c r="O32"/>
  <c r="O31"/>
  <c r="O30"/>
  <c r="O29"/>
  <c r="O28"/>
  <c r="O27"/>
  <c r="O26"/>
  <c r="O25"/>
  <c r="O24"/>
  <c r="O23"/>
  <c r="O22"/>
  <c r="O21"/>
  <c r="O20"/>
  <c r="O16"/>
  <c r="O15"/>
  <c r="O14"/>
  <c r="O13"/>
  <c r="O12"/>
  <c r="O11"/>
  <c r="O10"/>
  <c r="O9"/>
  <c r="O8"/>
  <c r="O7"/>
  <c r="O6"/>
  <c r="O5"/>
  <c r="O4"/>
  <c r="L16"/>
  <c r="L15"/>
  <c r="L14"/>
  <c r="L13"/>
  <c r="L12"/>
  <c r="L11"/>
  <c r="L10"/>
  <c r="L9"/>
  <c r="L8"/>
  <c r="L7"/>
  <c r="L6"/>
  <c r="L5"/>
  <c r="L4"/>
  <c r="I16"/>
  <c r="I15"/>
  <c r="I14"/>
  <c r="I13"/>
  <c r="I12"/>
  <c r="I11"/>
  <c r="I10"/>
  <c r="I9"/>
  <c r="I8"/>
  <c r="I7"/>
  <c r="I6"/>
  <c r="I5"/>
  <c r="I4"/>
  <c r="F16"/>
  <c r="F15"/>
  <c r="F14"/>
  <c r="F13"/>
  <c r="F12"/>
  <c r="F11"/>
  <c r="F10"/>
  <c r="F9"/>
  <c r="F8"/>
  <c r="F7"/>
  <c r="F6"/>
  <c r="F5"/>
  <c r="F4"/>
  <c r="C16"/>
  <c r="C15"/>
  <c r="C14"/>
  <c r="C13"/>
  <c r="C12"/>
  <c r="C11"/>
  <c r="C10"/>
  <c r="C9"/>
  <c r="C8"/>
  <c r="C7"/>
  <c r="C6"/>
  <c r="C5"/>
  <c r="C4"/>
  <c r="J199" i="41" l="1"/>
  <c r="J201"/>
  <c r="J205"/>
  <c r="J207"/>
  <c r="J196"/>
  <c r="J200"/>
  <c r="J206"/>
  <c r="J213"/>
  <c r="J215"/>
  <c r="J223"/>
  <c r="J229"/>
  <c r="J233"/>
  <c r="J214"/>
  <c r="J216"/>
  <c r="J218"/>
  <c r="J222"/>
  <c r="J224"/>
  <c r="J230"/>
  <c r="J232"/>
  <c r="J191"/>
  <c r="J192"/>
  <c r="K196"/>
  <c r="K200"/>
  <c r="K206"/>
  <c r="K199"/>
  <c r="K201"/>
  <c r="K205"/>
  <c r="K207"/>
  <c r="K214"/>
  <c r="K216"/>
  <c r="K218"/>
  <c r="K222"/>
  <c r="K224"/>
  <c r="K230"/>
  <c r="K232"/>
  <c r="K213"/>
  <c r="K215"/>
  <c r="K223"/>
  <c r="K229"/>
  <c r="K233"/>
  <c r="M196"/>
  <c r="M200"/>
  <c r="M206"/>
  <c r="M199"/>
  <c r="M201"/>
  <c r="M205"/>
  <c r="M207"/>
  <c r="M214"/>
  <c r="M216"/>
  <c r="M218"/>
  <c r="M222"/>
  <c r="M224"/>
  <c r="M230"/>
  <c r="M232"/>
  <c r="M213"/>
  <c r="M215"/>
  <c r="M223"/>
  <c r="M229"/>
  <c r="M233"/>
  <c r="L199"/>
  <c r="L201"/>
  <c r="L205"/>
  <c r="L207"/>
  <c r="L196"/>
  <c r="L200"/>
  <c r="L206"/>
  <c r="L213"/>
  <c r="L215"/>
  <c r="L223"/>
  <c r="L229"/>
  <c r="L233"/>
  <c r="L214"/>
  <c r="L216"/>
  <c r="L218"/>
  <c r="L222"/>
  <c r="L224"/>
  <c r="L230"/>
  <c r="L232"/>
  <c r="I162"/>
  <c r="I172"/>
  <c r="I180"/>
  <c r="I202"/>
  <c r="I204"/>
  <c r="I208"/>
  <c r="I165"/>
  <c r="I173"/>
  <c r="I177"/>
  <c r="I203"/>
  <c r="I212"/>
  <c r="I226"/>
  <c r="I217"/>
  <c r="E174"/>
  <c r="S124"/>
  <c r="T142"/>
  <c r="F183" s="1"/>
  <c r="S135"/>
  <c r="E171" s="1"/>
  <c r="S145"/>
  <c r="E188" s="1"/>
  <c r="T135"/>
  <c r="F171" s="1"/>
  <c r="S128"/>
  <c r="E227" s="1"/>
  <c r="S153"/>
  <c r="E211" s="1"/>
  <c r="T152"/>
  <c r="F210" s="1"/>
  <c r="S136"/>
  <c r="E170" s="1"/>
  <c r="T141"/>
  <c r="F179" s="1"/>
  <c r="T136"/>
  <c r="F170" s="1"/>
  <c r="S142"/>
  <c r="E183" s="1"/>
  <c r="S141"/>
  <c r="E179" s="1"/>
  <c r="S152"/>
  <c r="E210" s="1"/>
  <c r="L127"/>
  <c r="J176" s="1"/>
  <c r="F131"/>
  <c r="L131" s="1"/>
  <c r="N127"/>
  <c r="L176" s="1"/>
  <c r="H131"/>
  <c r="N131" s="1"/>
  <c r="O125"/>
  <c r="I129"/>
  <c r="O129" s="1"/>
  <c r="M166" s="1"/>
  <c r="L126"/>
  <c r="F130"/>
  <c r="L130" s="1"/>
  <c r="J225" s="1"/>
  <c r="M127"/>
  <c r="K176" s="1"/>
  <c r="G131"/>
  <c r="M131" s="1"/>
  <c r="S131" s="1"/>
  <c r="M125"/>
  <c r="G129"/>
  <c r="M129" s="1"/>
  <c r="K166" s="1"/>
  <c r="O126"/>
  <c r="I130"/>
  <c r="O130" s="1"/>
  <c r="M225" s="1"/>
  <c r="M126"/>
  <c r="G130"/>
  <c r="M130" s="1"/>
  <c r="K225" s="1"/>
  <c r="O127"/>
  <c r="M176" s="1"/>
  <c r="I131"/>
  <c r="O131" s="1"/>
  <c r="L125"/>
  <c r="F129"/>
  <c r="L129" s="1"/>
  <c r="J166" s="1"/>
  <c r="N126"/>
  <c r="H130"/>
  <c r="N130" s="1"/>
  <c r="L225" s="1"/>
  <c r="N125"/>
  <c r="H129"/>
  <c r="N129" s="1"/>
  <c r="L166" s="1"/>
  <c r="E131"/>
  <c r="K131" s="1"/>
  <c r="E130"/>
  <c r="K130" s="1"/>
  <c r="I225" s="1"/>
  <c r="K133"/>
  <c r="J133"/>
  <c r="P133" s="1"/>
  <c r="R133" s="1"/>
  <c r="K136"/>
  <c r="I170" s="1"/>
  <c r="J136"/>
  <c r="P136" s="1"/>
  <c r="K127"/>
  <c r="I176" s="1"/>
  <c r="J127"/>
  <c r="J149"/>
  <c r="P149" s="1"/>
  <c r="K149"/>
  <c r="J134"/>
  <c r="P134" s="1"/>
  <c r="L134"/>
  <c r="J142"/>
  <c r="P142" s="1"/>
  <c r="H183" s="1"/>
  <c r="K142"/>
  <c r="I183" s="1"/>
  <c r="Q138"/>
  <c r="R138"/>
  <c r="J139"/>
  <c r="P139" s="1"/>
  <c r="H174" s="1"/>
  <c r="K139"/>
  <c r="I174" s="1"/>
  <c r="T145"/>
  <c r="F188" s="1"/>
  <c r="Q134"/>
  <c r="T124"/>
  <c r="T133"/>
  <c r="T134"/>
  <c r="T137"/>
  <c r="J141"/>
  <c r="P141" s="1"/>
  <c r="H179" s="1"/>
  <c r="J153"/>
  <c r="P153" s="1"/>
  <c r="J137"/>
  <c r="P137" s="1"/>
  <c r="R137" s="1"/>
  <c r="J135"/>
  <c r="P135" s="1"/>
  <c r="J145"/>
  <c r="P145" s="1"/>
  <c r="J144"/>
  <c r="P144" s="1"/>
  <c r="O146"/>
  <c r="I148"/>
  <c r="O148" s="1"/>
  <c r="K124"/>
  <c r="J124"/>
  <c r="P124" s="1"/>
  <c r="K128"/>
  <c r="I227" s="1"/>
  <c r="J128"/>
  <c r="P128" s="1"/>
  <c r="H227" s="1"/>
  <c r="J140"/>
  <c r="P140" s="1"/>
  <c r="O140"/>
  <c r="T140" s="1"/>
  <c r="N146"/>
  <c r="T146" s="1"/>
  <c r="H148"/>
  <c r="N148" s="1"/>
  <c r="J147"/>
  <c r="P147" s="1"/>
  <c r="K147"/>
  <c r="J143"/>
  <c r="P143" s="1"/>
  <c r="K143"/>
  <c r="K125"/>
  <c r="J125"/>
  <c r="J151"/>
  <c r="P151" s="1"/>
  <c r="K151"/>
  <c r="T153"/>
  <c r="F211" s="1"/>
  <c r="T126"/>
  <c r="T125"/>
  <c r="T128"/>
  <c r="F227" s="1"/>
  <c r="J126"/>
  <c r="G148"/>
  <c r="M148" s="1"/>
  <c r="E148"/>
  <c r="J146"/>
  <c r="P146" s="1"/>
  <c r="Q146" s="1"/>
  <c r="Q137"/>
  <c r="J152"/>
  <c r="P152" s="1"/>
  <c r="Q145"/>
  <c r="C188" s="1"/>
  <c r="C139" i="26"/>
  <c r="C123"/>
  <c r="F122"/>
  <c r="I112"/>
  <c r="U21" s="1"/>
  <c r="F123"/>
  <c r="U20" s="1"/>
  <c r="O104"/>
  <c r="L104"/>
  <c r="I104"/>
  <c r="F104"/>
  <c r="C104"/>
  <c r="O90"/>
  <c r="O103" s="1"/>
  <c r="T18" s="1"/>
  <c r="I103"/>
  <c r="T16" s="1"/>
  <c r="C103"/>
  <c r="T14" s="1"/>
  <c r="O88"/>
  <c r="L88"/>
  <c r="I88"/>
  <c r="F88"/>
  <c r="C88"/>
  <c r="O87"/>
  <c r="I87"/>
  <c r="C87"/>
  <c r="O69"/>
  <c r="L69"/>
  <c r="I69"/>
  <c r="F69"/>
  <c r="C69"/>
  <c r="O68"/>
  <c r="T13" s="1"/>
  <c r="I68"/>
  <c r="T11" s="1"/>
  <c r="C68"/>
  <c r="T9" s="1"/>
  <c r="O53"/>
  <c r="L53"/>
  <c r="I53"/>
  <c r="F53"/>
  <c r="C53"/>
  <c r="O52"/>
  <c r="I52"/>
  <c r="C52"/>
  <c r="O34"/>
  <c r="L34"/>
  <c r="I34"/>
  <c r="F34"/>
  <c r="C34"/>
  <c r="V21"/>
  <c r="T21"/>
  <c r="S21"/>
  <c r="R21"/>
  <c r="V20"/>
  <c r="R20"/>
  <c r="O33"/>
  <c r="T8" s="1"/>
  <c r="I33"/>
  <c r="T6" s="1"/>
  <c r="C33"/>
  <c r="T4" s="1"/>
  <c r="V19"/>
  <c r="R19"/>
  <c r="R18"/>
  <c r="O18"/>
  <c r="L18"/>
  <c r="I18"/>
  <c r="F18"/>
  <c r="C18"/>
  <c r="V17"/>
  <c r="R17"/>
  <c r="V16"/>
  <c r="V15"/>
  <c r="R15"/>
  <c r="V14"/>
  <c r="R14"/>
  <c r="V13"/>
  <c r="R13"/>
  <c r="V12"/>
  <c r="R12"/>
  <c r="V11"/>
  <c r="R11"/>
  <c r="V10"/>
  <c r="R10"/>
  <c r="V9"/>
  <c r="R9"/>
  <c r="V8"/>
  <c r="R8"/>
  <c r="V7"/>
  <c r="R7"/>
  <c r="V6"/>
  <c r="R6"/>
  <c r="V5"/>
  <c r="R5"/>
  <c r="V4"/>
  <c r="R4"/>
  <c r="L17"/>
  <c r="F17"/>
  <c r="C139" i="17"/>
  <c r="C123"/>
  <c r="F122"/>
  <c r="I112"/>
  <c r="U21" s="1"/>
  <c r="F123"/>
  <c r="U20" s="1"/>
  <c r="C122"/>
  <c r="O104"/>
  <c r="L104"/>
  <c r="I104"/>
  <c r="F104"/>
  <c r="C104"/>
  <c r="O90"/>
  <c r="O103" s="1"/>
  <c r="T18" s="1"/>
  <c r="L103"/>
  <c r="T17" s="1"/>
  <c r="F103"/>
  <c r="T15" s="1"/>
  <c r="O88"/>
  <c r="L88"/>
  <c r="I88"/>
  <c r="F88"/>
  <c r="C88"/>
  <c r="L87"/>
  <c r="I87"/>
  <c r="F87"/>
  <c r="C87"/>
  <c r="O69"/>
  <c r="L69"/>
  <c r="I69"/>
  <c r="F69"/>
  <c r="C69"/>
  <c r="O68"/>
  <c r="T13" s="1"/>
  <c r="L68"/>
  <c r="T12" s="1"/>
  <c r="I68"/>
  <c r="T11" s="1"/>
  <c r="F68"/>
  <c r="T10" s="1"/>
  <c r="C68"/>
  <c r="T9" s="1"/>
  <c r="O53"/>
  <c r="L53"/>
  <c r="I53"/>
  <c r="F53"/>
  <c r="C53"/>
  <c r="O52"/>
  <c r="L52"/>
  <c r="I52"/>
  <c r="F52"/>
  <c r="C52"/>
  <c r="O34"/>
  <c r="L34"/>
  <c r="I34"/>
  <c r="F34"/>
  <c r="C34"/>
  <c r="V21"/>
  <c r="T21"/>
  <c r="R21"/>
  <c r="V20"/>
  <c r="R20"/>
  <c r="O33"/>
  <c r="T8" s="1"/>
  <c r="L33"/>
  <c r="T7" s="1"/>
  <c r="I33"/>
  <c r="T6" s="1"/>
  <c r="F33"/>
  <c r="T5" s="1"/>
  <c r="C33"/>
  <c r="T4" s="1"/>
  <c r="V19"/>
  <c r="R19"/>
  <c r="R18"/>
  <c r="O18"/>
  <c r="L18"/>
  <c r="I18"/>
  <c r="F18"/>
  <c r="C18"/>
  <c r="V17"/>
  <c r="R17"/>
  <c r="V16"/>
  <c r="V15"/>
  <c r="R15"/>
  <c r="V14"/>
  <c r="R14"/>
  <c r="V13"/>
  <c r="R13"/>
  <c r="V12"/>
  <c r="R12"/>
  <c r="V11"/>
  <c r="R11"/>
  <c r="V10"/>
  <c r="R10"/>
  <c r="V9"/>
  <c r="R9"/>
  <c r="V8"/>
  <c r="R8"/>
  <c r="V7"/>
  <c r="R7"/>
  <c r="V6"/>
  <c r="R6"/>
  <c r="V5"/>
  <c r="R5"/>
  <c r="V4"/>
  <c r="R4"/>
  <c r="O17"/>
  <c r="L17"/>
  <c r="I17"/>
  <c r="F17"/>
  <c r="C17"/>
  <c r="V84" i="16"/>
  <c r="Z84" s="1"/>
  <c r="U84"/>
  <c r="Y84" s="1"/>
  <c r="T84"/>
  <c r="X84" s="1"/>
  <c r="S84"/>
  <c r="W84" s="1"/>
  <c r="AB84" s="1"/>
  <c r="R84"/>
  <c r="Q84"/>
  <c r="P84"/>
  <c r="O84"/>
  <c r="AA84" s="1"/>
  <c r="N84"/>
  <c r="V83"/>
  <c r="Z83" s="1"/>
  <c r="U83"/>
  <c r="Y83" s="1"/>
  <c r="T83"/>
  <c r="X83" s="1"/>
  <c r="S83"/>
  <c r="W83" s="1"/>
  <c r="R83"/>
  <c r="Q83"/>
  <c r="P83"/>
  <c r="O83"/>
  <c r="AA83" s="1"/>
  <c r="N83"/>
  <c r="V82"/>
  <c r="Z82" s="1"/>
  <c r="U82"/>
  <c r="Y82" s="1"/>
  <c r="T82"/>
  <c r="X82" s="1"/>
  <c r="S82"/>
  <c r="W82" s="1"/>
  <c r="AB82" s="1"/>
  <c r="R82"/>
  <c r="Q82"/>
  <c r="P82"/>
  <c r="O82"/>
  <c r="AA82" s="1"/>
  <c r="N82"/>
  <c r="V81"/>
  <c r="Z81" s="1"/>
  <c r="U81"/>
  <c r="Y81" s="1"/>
  <c r="T81"/>
  <c r="X81" s="1"/>
  <c r="S81"/>
  <c r="W81" s="1"/>
  <c r="R81"/>
  <c r="Q81"/>
  <c r="P81"/>
  <c r="O81"/>
  <c r="AA81" s="1"/>
  <c r="N81"/>
  <c r="V78"/>
  <c r="Z78" s="1"/>
  <c r="U78"/>
  <c r="Y78" s="1"/>
  <c r="T78"/>
  <c r="X78" s="1"/>
  <c r="S78"/>
  <c r="W78" s="1"/>
  <c r="AB78" s="1"/>
  <c r="R78"/>
  <c r="Q78"/>
  <c r="P78"/>
  <c r="O78"/>
  <c r="AA78" s="1"/>
  <c r="N78"/>
  <c r="V77"/>
  <c r="Z77" s="1"/>
  <c r="U77"/>
  <c r="Y77" s="1"/>
  <c r="T77"/>
  <c r="X77" s="1"/>
  <c r="S77"/>
  <c r="W77" s="1"/>
  <c r="R77"/>
  <c r="Q77"/>
  <c r="P77"/>
  <c r="O77"/>
  <c r="AA77" s="1"/>
  <c r="N77"/>
  <c r="V76"/>
  <c r="Z76" s="1"/>
  <c r="U76"/>
  <c r="Y76" s="1"/>
  <c r="T76"/>
  <c r="X76" s="1"/>
  <c r="S76"/>
  <c r="W76" s="1"/>
  <c r="AB76" s="1"/>
  <c r="R76"/>
  <c r="Q76"/>
  <c r="P76"/>
  <c r="O76"/>
  <c r="AA76" s="1"/>
  <c r="N76"/>
  <c r="V75"/>
  <c r="Z75" s="1"/>
  <c r="U75"/>
  <c r="Y75" s="1"/>
  <c r="T75"/>
  <c r="X75" s="1"/>
  <c r="S75"/>
  <c r="W75" s="1"/>
  <c r="R75"/>
  <c r="Q75"/>
  <c r="P75"/>
  <c r="O75"/>
  <c r="AA75" s="1"/>
  <c r="N75"/>
  <c r="V74"/>
  <c r="Z74" s="1"/>
  <c r="U74"/>
  <c r="Y74" s="1"/>
  <c r="T74"/>
  <c r="X74" s="1"/>
  <c r="S74"/>
  <c r="W74" s="1"/>
  <c r="AB74" s="1"/>
  <c r="R74"/>
  <c r="Q74"/>
  <c r="P74"/>
  <c r="O74"/>
  <c r="AA74" s="1"/>
  <c r="N74"/>
  <c r="T73"/>
  <c r="X73" s="1"/>
  <c r="S73"/>
  <c r="W73" s="1"/>
  <c r="R73"/>
  <c r="Q73"/>
  <c r="P73"/>
  <c r="O73"/>
  <c r="AA73" s="1"/>
  <c r="N73"/>
  <c r="M73"/>
  <c r="V73" s="1"/>
  <c r="Z73" s="1"/>
  <c r="J73"/>
  <c r="U73" s="1"/>
  <c r="Y73" s="1"/>
  <c r="V72"/>
  <c r="Z72" s="1"/>
  <c r="U72"/>
  <c r="Y72" s="1"/>
  <c r="T72"/>
  <c r="X72" s="1"/>
  <c r="S72"/>
  <c r="W72" s="1"/>
  <c r="AB72" s="1"/>
  <c r="R72"/>
  <c r="Q72"/>
  <c r="P72"/>
  <c r="O72"/>
  <c r="AA72" s="1"/>
  <c r="N72"/>
  <c r="V71"/>
  <c r="Z71" s="1"/>
  <c r="T71"/>
  <c r="X71" s="1"/>
  <c r="S71"/>
  <c r="W71" s="1"/>
  <c r="R71"/>
  <c r="P71"/>
  <c r="O71"/>
  <c r="N71"/>
  <c r="L71"/>
  <c r="I71"/>
  <c r="U71" s="1"/>
  <c r="Y71" s="1"/>
  <c r="F71"/>
  <c r="V70"/>
  <c r="Z70" s="1"/>
  <c r="U70"/>
  <c r="Y70" s="1"/>
  <c r="T70"/>
  <c r="X70" s="1"/>
  <c r="S70"/>
  <c r="W70" s="1"/>
  <c r="R70"/>
  <c r="Q70"/>
  <c r="P70"/>
  <c r="O70"/>
  <c r="AA70" s="1"/>
  <c r="N70"/>
  <c r="V69"/>
  <c r="Z69" s="1"/>
  <c r="U69"/>
  <c r="Y69" s="1"/>
  <c r="T69"/>
  <c r="X69" s="1"/>
  <c r="S69"/>
  <c r="W69" s="1"/>
  <c r="AB69" s="1"/>
  <c r="R69"/>
  <c r="Q69"/>
  <c r="P69"/>
  <c r="O69"/>
  <c r="AA69" s="1"/>
  <c r="N69"/>
  <c r="V68"/>
  <c r="Z68" s="1"/>
  <c r="U68"/>
  <c r="Y68" s="1"/>
  <c r="T68"/>
  <c r="X68" s="1"/>
  <c r="S68"/>
  <c r="W68" s="1"/>
  <c r="R68"/>
  <c r="Q68"/>
  <c r="P68"/>
  <c r="O68"/>
  <c r="AA68" s="1"/>
  <c r="N68"/>
  <c r="V67"/>
  <c r="Z67" s="1"/>
  <c r="U67"/>
  <c r="Y67" s="1"/>
  <c r="T67"/>
  <c r="X67" s="1"/>
  <c r="S67"/>
  <c r="W67" s="1"/>
  <c r="AB67" s="1"/>
  <c r="R67"/>
  <c r="Q67"/>
  <c r="P67"/>
  <c r="O67"/>
  <c r="AA67" s="1"/>
  <c r="N67"/>
  <c r="V66"/>
  <c r="Z66" s="1"/>
  <c r="U66"/>
  <c r="Y66" s="1"/>
  <c r="T66"/>
  <c r="X66" s="1"/>
  <c r="S66"/>
  <c r="W66" s="1"/>
  <c r="R66"/>
  <c r="Q66"/>
  <c r="P66"/>
  <c r="O66"/>
  <c r="AA66" s="1"/>
  <c r="N66"/>
  <c r="V65"/>
  <c r="Z65" s="1"/>
  <c r="U65"/>
  <c r="Y65" s="1"/>
  <c r="T65"/>
  <c r="X65" s="1"/>
  <c r="S65"/>
  <c r="W65" s="1"/>
  <c r="AB65" s="1"/>
  <c r="R65"/>
  <c r="Q65"/>
  <c r="P65"/>
  <c r="O65"/>
  <c r="AA65" s="1"/>
  <c r="N65"/>
  <c r="V64"/>
  <c r="Z64" s="1"/>
  <c r="U64"/>
  <c r="Y64" s="1"/>
  <c r="T64"/>
  <c r="X64" s="1"/>
  <c r="S64"/>
  <c r="W64" s="1"/>
  <c r="R64"/>
  <c r="Q64"/>
  <c r="P64"/>
  <c r="O64"/>
  <c r="AA64" s="1"/>
  <c r="N64"/>
  <c r="V63"/>
  <c r="Z63" s="1"/>
  <c r="U63"/>
  <c r="Y63" s="1"/>
  <c r="T63"/>
  <c r="X63" s="1"/>
  <c r="S63"/>
  <c r="W63" s="1"/>
  <c r="AB63" s="1"/>
  <c r="R63"/>
  <c r="Q63"/>
  <c r="P63"/>
  <c r="O63"/>
  <c r="AA63" s="1"/>
  <c r="N63"/>
  <c r="V62"/>
  <c r="Z62" s="1"/>
  <c r="U62"/>
  <c r="Y62" s="1"/>
  <c r="T62"/>
  <c r="X62" s="1"/>
  <c r="S62"/>
  <c r="W62" s="1"/>
  <c r="R62"/>
  <c r="Q62"/>
  <c r="P62"/>
  <c r="O62"/>
  <c r="AA62" s="1"/>
  <c r="N62"/>
  <c r="V61"/>
  <c r="Z61" s="1"/>
  <c r="U61"/>
  <c r="Y61" s="1"/>
  <c r="T61"/>
  <c r="X61" s="1"/>
  <c r="S61"/>
  <c r="W61" s="1"/>
  <c r="AB61" s="1"/>
  <c r="R61"/>
  <c r="Q61"/>
  <c r="P61"/>
  <c r="O61"/>
  <c r="AA61" s="1"/>
  <c r="N61"/>
  <c r="V60"/>
  <c r="Z60" s="1"/>
  <c r="U60"/>
  <c r="Y60" s="1"/>
  <c r="T60"/>
  <c r="X60" s="1"/>
  <c r="S60"/>
  <c r="W60" s="1"/>
  <c r="R60"/>
  <c r="Q60"/>
  <c r="P60"/>
  <c r="O60"/>
  <c r="AA60" s="1"/>
  <c r="N60"/>
  <c r="V59"/>
  <c r="Z59" s="1"/>
  <c r="U59"/>
  <c r="Y59" s="1"/>
  <c r="T59"/>
  <c r="X59" s="1"/>
  <c r="S59"/>
  <c r="W59" s="1"/>
  <c r="AB59" s="1"/>
  <c r="R59"/>
  <c r="Q59"/>
  <c r="P59"/>
  <c r="O59"/>
  <c r="AA59" s="1"/>
  <c r="N59"/>
  <c r="V58"/>
  <c r="Z58" s="1"/>
  <c r="U58"/>
  <c r="Y58" s="1"/>
  <c r="T58"/>
  <c r="X58" s="1"/>
  <c r="S58"/>
  <c r="W58" s="1"/>
  <c r="R58"/>
  <c r="Q58"/>
  <c r="P58"/>
  <c r="O58"/>
  <c r="AA58" s="1"/>
  <c r="N58"/>
  <c r="V57"/>
  <c r="Z57" s="1"/>
  <c r="R57"/>
  <c r="Q57"/>
  <c r="P57"/>
  <c r="O57"/>
  <c r="AA57" s="1"/>
  <c r="N57"/>
  <c r="J57"/>
  <c r="U57" s="1"/>
  <c r="Y57" s="1"/>
  <c r="G57"/>
  <c r="T57" s="1"/>
  <c r="X57" s="1"/>
  <c r="D57"/>
  <c r="S57" s="1"/>
  <c r="W57" s="1"/>
  <c r="AB57" s="1"/>
  <c r="V56"/>
  <c r="Z56" s="1"/>
  <c r="U56"/>
  <c r="Y56" s="1"/>
  <c r="T56"/>
  <c r="X56" s="1"/>
  <c r="S56"/>
  <c r="W56" s="1"/>
  <c r="AB56" s="1"/>
  <c r="R56"/>
  <c r="Q56"/>
  <c r="P56"/>
  <c r="O56"/>
  <c r="AA56" s="1"/>
  <c r="N56"/>
  <c r="V55"/>
  <c r="Z55" s="1"/>
  <c r="U55"/>
  <c r="Y55" s="1"/>
  <c r="T55"/>
  <c r="X55" s="1"/>
  <c r="S55"/>
  <c r="W55" s="1"/>
  <c r="R55"/>
  <c r="Q55"/>
  <c r="P55"/>
  <c r="O55"/>
  <c r="AA55" s="1"/>
  <c r="N55"/>
  <c r="V54"/>
  <c r="Z54" s="1"/>
  <c r="U54"/>
  <c r="Y54" s="1"/>
  <c r="T54"/>
  <c r="X54" s="1"/>
  <c r="S54"/>
  <c r="W54" s="1"/>
  <c r="AB54" s="1"/>
  <c r="R54"/>
  <c r="Q54"/>
  <c r="P54"/>
  <c r="O54"/>
  <c r="AA54" s="1"/>
  <c r="N54"/>
  <c r="V53"/>
  <c r="Z53" s="1"/>
  <c r="U53"/>
  <c r="Y53" s="1"/>
  <c r="T53"/>
  <c r="X53" s="1"/>
  <c r="S53"/>
  <c r="W53" s="1"/>
  <c r="R53"/>
  <c r="Q53"/>
  <c r="P53"/>
  <c r="O53"/>
  <c r="AA53" s="1"/>
  <c r="N53"/>
  <c r="V52"/>
  <c r="Z52" s="1"/>
  <c r="U52"/>
  <c r="Y52" s="1"/>
  <c r="T52"/>
  <c r="X52" s="1"/>
  <c r="S52"/>
  <c r="W52" s="1"/>
  <c r="AB52" s="1"/>
  <c r="R52"/>
  <c r="Q52"/>
  <c r="P52"/>
  <c r="O52"/>
  <c r="AA52" s="1"/>
  <c r="N52"/>
  <c r="U51"/>
  <c r="Y51" s="1"/>
  <c r="S51"/>
  <c r="W51" s="1"/>
  <c r="R51"/>
  <c r="Q51"/>
  <c r="P51"/>
  <c r="O51"/>
  <c r="AA51" s="1"/>
  <c r="N51"/>
  <c r="M51"/>
  <c r="V51" s="1"/>
  <c r="Z51" s="1"/>
  <c r="J51"/>
  <c r="G51"/>
  <c r="T51" s="1"/>
  <c r="X51" s="1"/>
  <c r="V50"/>
  <c r="Z50" s="1"/>
  <c r="S50"/>
  <c r="W50" s="1"/>
  <c r="R50"/>
  <c r="O50"/>
  <c r="J50"/>
  <c r="I50"/>
  <c r="U50" s="1"/>
  <c r="Y50" s="1"/>
  <c r="G50"/>
  <c r="T50" s="1"/>
  <c r="X50" s="1"/>
  <c r="F50"/>
  <c r="P50" s="1"/>
  <c r="V49"/>
  <c r="Z49" s="1"/>
  <c r="U49"/>
  <c r="Y49" s="1"/>
  <c r="T49"/>
  <c r="X49" s="1"/>
  <c r="S49"/>
  <c r="W49" s="1"/>
  <c r="AB49" s="1"/>
  <c r="R49"/>
  <c r="Q49"/>
  <c r="P49"/>
  <c r="O49"/>
  <c r="AA49" s="1"/>
  <c r="N49"/>
  <c r="V48"/>
  <c r="Z48" s="1"/>
  <c r="U48"/>
  <c r="Y48" s="1"/>
  <c r="T48"/>
  <c r="X48" s="1"/>
  <c r="S48"/>
  <c r="W48" s="1"/>
  <c r="R48"/>
  <c r="Q48"/>
  <c r="P48"/>
  <c r="O48"/>
  <c r="AA48" s="1"/>
  <c r="N48"/>
  <c r="U47"/>
  <c r="Y47" s="1"/>
  <c r="S47"/>
  <c r="W47" s="1"/>
  <c r="R47"/>
  <c r="Q47"/>
  <c r="P47"/>
  <c r="O47"/>
  <c r="AA47" s="1"/>
  <c r="N47"/>
  <c r="M47"/>
  <c r="V47" s="1"/>
  <c r="Z47" s="1"/>
  <c r="J47"/>
  <c r="G47"/>
  <c r="T47" s="1"/>
  <c r="X47" s="1"/>
  <c r="V46"/>
  <c r="Z46" s="1"/>
  <c r="U46"/>
  <c r="Y46" s="1"/>
  <c r="T46"/>
  <c r="X46" s="1"/>
  <c r="S46"/>
  <c r="W46" s="1"/>
  <c r="AB46" s="1"/>
  <c r="R46"/>
  <c r="Q46"/>
  <c r="P46"/>
  <c r="O46"/>
  <c r="AA46" s="1"/>
  <c r="N46"/>
  <c r="V45"/>
  <c r="Z45" s="1"/>
  <c r="U45"/>
  <c r="Y45" s="1"/>
  <c r="T45"/>
  <c r="X45" s="1"/>
  <c r="S45"/>
  <c r="W45" s="1"/>
  <c r="R45"/>
  <c r="Q45"/>
  <c r="P45"/>
  <c r="O45"/>
  <c r="AA45" s="1"/>
  <c r="N45"/>
  <c r="U44"/>
  <c r="Y44" s="1"/>
  <c r="T44"/>
  <c r="X44" s="1"/>
  <c r="S44"/>
  <c r="W44" s="1"/>
  <c r="Q44"/>
  <c r="P44"/>
  <c r="O44"/>
  <c r="L44"/>
  <c r="K44"/>
  <c r="V44" s="1"/>
  <c r="Z44" s="1"/>
  <c r="V43"/>
  <c r="Z43" s="1"/>
  <c r="R43"/>
  <c r="Q43"/>
  <c r="P43"/>
  <c r="O43"/>
  <c r="AA43" s="1"/>
  <c r="N43"/>
  <c r="J43"/>
  <c r="U43" s="1"/>
  <c r="Y43" s="1"/>
  <c r="G43"/>
  <c r="T43" s="1"/>
  <c r="X43" s="1"/>
  <c r="D43"/>
  <c r="S43" s="1"/>
  <c r="W43" s="1"/>
  <c r="V42"/>
  <c r="Z42" s="1"/>
  <c r="U42"/>
  <c r="Y42" s="1"/>
  <c r="T42"/>
  <c r="X42" s="1"/>
  <c r="S42"/>
  <c r="W42" s="1"/>
  <c r="R42"/>
  <c r="Q42"/>
  <c r="P42"/>
  <c r="O42"/>
  <c r="AA42" s="1"/>
  <c r="N42"/>
  <c r="V41"/>
  <c r="Z41" s="1"/>
  <c r="R41"/>
  <c r="Q41"/>
  <c r="P41"/>
  <c r="O41"/>
  <c r="AA41" s="1"/>
  <c r="N41"/>
  <c r="J41"/>
  <c r="U41" s="1"/>
  <c r="Y41" s="1"/>
  <c r="G41"/>
  <c r="T41" s="1"/>
  <c r="X41" s="1"/>
  <c r="D41"/>
  <c r="S41" s="1"/>
  <c r="W41" s="1"/>
  <c r="V40"/>
  <c r="Z40" s="1"/>
  <c r="U40"/>
  <c r="Y40" s="1"/>
  <c r="T40"/>
  <c r="X40" s="1"/>
  <c r="S40"/>
  <c r="W40" s="1"/>
  <c r="R40"/>
  <c r="Q40"/>
  <c r="P40"/>
  <c r="O40"/>
  <c r="AA40" s="1"/>
  <c r="N40"/>
  <c r="V39"/>
  <c r="Z39" s="1"/>
  <c r="U39"/>
  <c r="Y39" s="1"/>
  <c r="T39"/>
  <c r="X39" s="1"/>
  <c r="S39"/>
  <c r="W39" s="1"/>
  <c r="AB39" s="1"/>
  <c r="R39"/>
  <c r="Q39"/>
  <c r="P39"/>
  <c r="O39"/>
  <c r="AA39" s="1"/>
  <c r="N39"/>
  <c r="V38"/>
  <c r="Z38" s="1"/>
  <c r="R38"/>
  <c r="Q38"/>
  <c r="P38"/>
  <c r="O38"/>
  <c r="AA38" s="1"/>
  <c r="N38"/>
  <c r="J38"/>
  <c r="U38" s="1"/>
  <c r="Y38" s="1"/>
  <c r="G38"/>
  <c r="T38" s="1"/>
  <c r="X38" s="1"/>
  <c r="D38"/>
  <c r="S38" s="1"/>
  <c r="W38" s="1"/>
  <c r="AB38" s="1"/>
  <c r="V37"/>
  <c r="Z37" s="1"/>
  <c r="T37"/>
  <c r="X37" s="1"/>
  <c r="S37"/>
  <c r="W37" s="1"/>
  <c r="R37"/>
  <c r="N37"/>
  <c r="I37"/>
  <c r="U37" s="1"/>
  <c r="Y37" s="1"/>
  <c r="F37"/>
  <c r="P37" s="1"/>
  <c r="C37"/>
  <c r="O37" s="1"/>
  <c r="V36"/>
  <c r="Z36" s="1"/>
  <c r="U36"/>
  <c r="Y36" s="1"/>
  <c r="T36"/>
  <c r="X36" s="1"/>
  <c r="S36"/>
  <c r="W36" s="1"/>
  <c r="AB36" s="1"/>
  <c r="R36"/>
  <c r="Q36"/>
  <c r="P36"/>
  <c r="O36"/>
  <c r="AA36" s="1"/>
  <c r="N36"/>
  <c r="V35"/>
  <c r="Z35" s="1"/>
  <c r="U35"/>
  <c r="Y35" s="1"/>
  <c r="T35"/>
  <c r="X35" s="1"/>
  <c r="S35"/>
  <c r="W35" s="1"/>
  <c r="R35"/>
  <c r="Q35"/>
  <c r="P35"/>
  <c r="O35"/>
  <c r="AA35" s="1"/>
  <c r="N35"/>
  <c r="V34"/>
  <c r="Z34" s="1"/>
  <c r="U34"/>
  <c r="Y34" s="1"/>
  <c r="T34"/>
  <c r="X34" s="1"/>
  <c r="S34"/>
  <c r="W34" s="1"/>
  <c r="AB34" s="1"/>
  <c r="R34"/>
  <c r="Q34"/>
  <c r="P34"/>
  <c r="O34"/>
  <c r="AA34" s="1"/>
  <c r="N34"/>
  <c r="V33"/>
  <c r="Z33" s="1"/>
  <c r="U33"/>
  <c r="Y33" s="1"/>
  <c r="T33"/>
  <c r="X33" s="1"/>
  <c r="S33"/>
  <c r="W33" s="1"/>
  <c r="R33"/>
  <c r="Q33"/>
  <c r="P33"/>
  <c r="O33"/>
  <c r="AA33" s="1"/>
  <c r="N33"/>
  <c r="U32"/>
  <c r="Y32" s="1"/>
  <c r="S32"/>
  <c r="W32" s="1"/>
  <c r="R32"/>
  <c r="Q32"/>
  <c r="P32"/>
  <c r="O32"/>
  <c r="AA32" s="1"/>
  <c r="N32"/>
  <c r="M32"/>
  <c r="V32" s="1"/>
  <c r="Z32" s="1"/>
  <c r="J32"/>
  <c r="G32"/>
  <c r="T32" s="1"/>
  <c r="X32" s="1"/>
  <c r="V31"/>
  <c r="Z31" s="1"/>
  <c r="U31"/>
  <c r="Y31" s="1"/>
  <c r="T31"/>
  <c r="X31" s="1"/>
  <c r="S31"/>
  <c r="W31" s="1"/>
  <c r="AB31" s="1"/>
  <c r="R31"/>
  <c r="Q31"/>
  <c r="P31"/>
  <c r="O31"/>
  <c r="AA31" s="1"/>
  <c r="N31"/>
  <c r="V30"/>
  <c r="Z30" s="1"/>
  <c r="U30"/>
  <c r="Y30" s="1"/>
  <c r="T30"/>
  <c r="X30" s="1"/>
  <c r="S30"/>
  <c r="W30" s="1"/>
  <c r="R30"/>
  <c r="Q30"/>
  <c r="P30"/>
  <c r="O30"/>
  <c r="AA30" s="1"/>
  <c r="N30"/>
  <c r="V29"/>
  <c r="Z29" s="1"/>
  <c r="U29"/>
  <c r="Y29" s="1"/>
  <c r="T29"/>
  <c r="X29" s="1"/>
  <c r="S29"/>
  <c r="W29" s="1"/>
  <c r="AB29" s="1"/>
  <c r="R29"/>
  <c r="Q29"/>
  <c r="P29"/>
  <c r="O29"/>
  <c r="AA29" s="1"/>
  <c r="N29"/>
  <c r="V28"/>
  <c r="Z28" s="1"/>
  <c r="U28"/>
  <c r="Y28" s="1"/>
  <c r="T28"/>
  <c r="X28" s="1"/>
  <c r="S28"/>
  <c r="W28" s="1"/>
  <c r="R28"/>
  <c r="Q28"/>
  <c r="P28"/>
  <c r="O28"/>
  <c r="AA28" s="1"/>
  <c r="N28"/>
  <c r="V27"/>
  <c r="Z27" s="1"/>
  <c r="R27"/>
  <c r="Q27"/>
  <c r="P27"/>
  <c r="O27"/>
  <c r="AA27" s="1"/>
  <c r="N27"/>
  <c r="J27"/>
  <c r="U27" s="1"/>
  <c r="Y27" s="1"/>
  <c r="G27"/>
  <c r="T27" s="1"/>
  <c r="X27" s="1"/>
  <c r="D27"/>
  <c r="S27" s="1"/>
  <c r="W27" s="1"/>
  <c r="V26"/>
  <c r="Z26" s="1"/>
  <c r="U26"/>
  <c r="Y26" s="1"/>
  <c r="T26"/>
  <c r="X26" s="1"/>
  <c r="S26"/>
  <c r="W26" s="1"/>
  <c r="R26"/>
  <c r="Q26"/>
  <c r="P26"/>
  <c r="O26"/>
  <c r="AA26" s="1"/>
  <c r="N26"/>
  <c r="V25"/>
  <c r="Z25" s="1"/>
  <c r="U25"/>
  <c r="Y25" s="1"/>
  <c r="T25"/>
  <c r="X25" s="1"/>
  <c r="R25"/>
  <c r="Q25"/>
  <c r="P25"/>
  <c r="N25"/>
  <c r="C25"/>
  <c r="S25" s="1"/>
  <c r="W25" s="1"/>
  <c r="AB25" s="1"/>
  <c r="V24"/>
  <c r="Z24" s="1"/>
  <c r="U24"/>
  <c r="Y24" s="1"/>
  <c r="T24"/>
  <c r="X24" s="1"/>
  <c r="S24"/>
  <c r="W24" s="1"/>
  <c r="AB24" s="1"/>
  <c r="R24"/>
  <c r="Q24"/>
  <c r="P24"/>
  <c r="O24"/>
  <c r="AA24" s="1"/>
  <c r="N24"/>
  <c r="S23"/>
  <c r="W23" s="1"/>
  <c r="Q23"/>
  <c r="O23"/>
  <c r="L23"/>
  <c r="V23" s="1"/>
  <c r="Z23" s="1"/>
  <c r="I23"/>
  <c r="U23" s="1"/>
  <c r="Y23" s="1"/>
  <c r="F23"/>
  <c r="E23"/>
  <c r="T23" s="1"/>
  <c r="X23" s="1"/>
  <c r="V22"/>
  <c r="Z22" s="1"/>
  <c r="R22"/>
  <c r="N22"/>
  <c r="I22"/>
  <c r="U22" s="1"/>
  <c r="Y22" s="1"/>
  <c r="F22"/>
  <c r="T22" s="1"/>
  <c r="X22" s="1"/>
  <c r="C22"/>
  <c r="S22" s="1"/>
  <c r="W22" s="1"/>
  <c r="AB22" s="1"/>
  <c r="V21"/>
  <c r="Z21" s="1"/>
  <c r="R21"/>
  <c r="I21"/>
  <c r="H21"/>
  <c r="U21" s="1"/>
  <c r="Y21" s="1"/>
  <c r="F21"/>
  <c r="E21"/>
  <c r="T21" s="1"/>
  <c r="X21" s="1"/>
  <c r="C21"/>
  <c r="B21"/>
  <c r="S21" s="1"/>
  <c r="W21" s="1"/>
  <c r="AB21" s="1"/>
  <c r="V20"/>
  <c r="Z20" s="1"/>
  <c r="U20"/>
  <c r="Y20" s="1"/>
  <c r="T20"/>
  <c r="X20" s="1"/>
  <c r="S20"/>
  <c r="W20" s="1"/>
  <c r="AB20" s="1"/>
  <c r="R20"/>
  <c r="Q20"/>
  <c r="P20"/>
  <c r="O20"/>
  <c r="AA20" s="1"/>
  <c r="N20"/>
  <c r="V19"/>
  <c r="Z19" s="1"/>
  <c r="U19"/>
  <c r="Y19" s="1"/>
  <c r="T19"/>
  <c r="X19" s="1"/>
  <c r="S19"/>
  <c r="W19" s="1"/>
  <c r="R19"/>
  <c r="Q19"/>
  <c r="P19"/>
  <c r="O19"/>
  <c r="AA19" s="1"/>
  <c r="N19"/>
  <c r="V18"/>
  <c r="Z18" s="1"/>
  <c r="U18"/>
  <c r="Y18" s="1"/>
  <c r="T18"/>
  <c r="X18" s="1"/>
  <c r="S18"/>
  <c r="W18" s="1"/>
  <c r="AB18" s="1"/>
  <c r="R18"/>
  <c r="Q18"/>
  <c r="P18"/>
  <c r="O18"/>
  <c r="AA18" s="1"/>
  <c r="N18"/>
  <c r="V17"/>
  <c r="Z17" s="1"/>
  <c r="S17"/>
  <c r="W17" s="1"/>
  <c r="R17"/>
  <c r="Q17"/>
  <c r="P17"/>
  <c r="O17"/>
  <c r="AA17" s="1"/>
  <c r="N17"/>
  <c r="J17"/>
  <c r="U17" s="1"/>
  <c r="Y17" s="1"/>
  <c r="G17"/>
  <c r="T17" s="1"/>
  <c r="X17" s="1"/>
  <c r="V16"/>
  <c r="Z16" s="1"/>
  <c r="U16"/>
  <c r="Y16" s="1"/>
  <c r="T16"/>
  <c r="X16" s="1"/>
  <c r="S16"/>
  <c r="W16" s="1"/>
  <c r="AB16" s="1"/>
  <c r="R16"/>
  <c r="Q16"/>
  <c r="P16"/>
  <c r="O16"/>
  <c r="AA16" s="1"/>
  <c r="N16"/>
  <c r="V15"/>
  <c r="Z15" s="1"/>
  <c r="U15"/>
  <c r="Y15" s="1"/>
  <c r="T15"/>
  <c r="X15" s="1"/>
  <c r="S15"/>
  <c r="W15" s="1"/>
  <c r="R15"/>
  <c r="Q15"/>
  <c r="P15"/>
  <c r="O15"/>
  <c r="AA15" s="1"/>
  <c r="N15"/>
  <c r="V14"/>
  <c r="Z14" s="1"/>
  <c r="U14"/>
  <c r="Y14" s="1"/>
  <c r="T14"/>
  <c r="X14" s="1"/>
  <c r="S14"/>
  <c r="W14" s="1"/>
  <c r="AB14" s="1"/>
  <c r="R14"/>
  <c r="Q14"/>
  <c r="P14"/>
  <c r="O14"/>
  <c r="AA14" s="1"/>
  <c r="N14"/>
  <c r="V13"/>
  <c r="Z13" s="1"/>
  <c r="U13"/>
  <c r="Y13" s="1"/>
  <c r="T13"/>
  <c r="X13" s="1"/>
  <c r="S13"/>
  <c r="W13" s="1"/>
  <c r="R13"/>
  <c r="Q13"/>
  <c r="P13"/>
  <c r="O13"/>
  <c r="AA13" s="1"/>
  <c r="N13"/>
  <c r="V12"/>
  <c r="Z12" s="1"/>
  <c r="U12"/>
  <c r="Y12" s="1"/>
  <c r="T12"/>
  <c r="X12" s="1"/>
  <c r="S12"/>
  <c r="W12" s="1"/>
  <c r="AB12" s="1"/>
  <c r="R12"/>
  <c r="Q12"/>
  <c r="P12"/>
  <c r="O12"/>
  <c r="AA12" s="1"/>
  <c r="N12"/>
  <c r="V11"/>
  <c r="Z11" s="1"/>
  <c r="U11"/>
  <c r="Y11" s="1"/>
  <c r="T11"/>
  <c r="X11" s="1"/>
  <c r="S11"/>
  <c r="W11" s="1"/>
  <c r="R11"/>
  <c r="Q11"/>
  <c r="P11"/>
  <c r="O11"/>
  <c r="AA11" s="1"/>
  <c r="N11"/>
  <c r="V10"/>
  <c r="Z10" s="1"/>
  <c r="U10"/>
  <c r="Y10" s="1"/>
  <c r="T10"/>
  <c r="X10" s="1"/>
  <c r="S10"/>
  <c r="W10" s="1"/>
  <c r="AB10" s="1"/>
  <c r="R10"/>
  <c r="Q10"/>
  <c r="P10"/>
  <c r="O10"/>
  <c r="AA10" s="1"/>
  <c r="N10"/>
  <c r="V9"/>
  <c r="Z9" s="1"/>
  <c r="U9"/>
  <c r="Y9" s="1"/>
  <c r="T9"/>
  <c r="X9" s="1"/>
  <c r="S9"/>
  <c r="W9" s="1"/>
  <c r="R9"/>
  <c r="Q9"/>
  <c r="P9"/>
  <c r="O9"/>
  <c r="AA9" s="1"/>
  <c r="N9"/>
  <c r="V8"/>
  <c r="Z8" s="1"/>
  <c r="U8"/>
  <c r="Y8" s="1"/>
  <c r="T8"/>
  <c r="X8" s="1"/>
  <c r="S8"/>
  <c r="W8" s="1"/>
  <c r="AB8" s="1"/>
  <c r="R8"/>
  <c r="Q8"/>
  <c r="P8"/>
  <c r="O8"/>
  <c r="AA8" s="1"/>
  <c r="N8"/>
  <c r="V7"/>
  <c r="Z7" s="1"/>
  <c r="U7"/>
  <c r="Y7" s="1"/>
  <c r="T7"/>
  <c r="X7" s="1"/>
  <c r="S7"/>
  <c r="W7" s="1"/>
  <c r="R7"/>
  <c r="Q7"/>
  <c r="P7"/>
  <c r="O7"/>
  <c r="AA7" s="1"/>
  <c r="N7"/>
  <c r="V6"/>
  <c r="Z6" s="1"/>
  <c r="U6"/>
  <c r="Y6" s="1"/>
  <c r="T6"/>
  <c r="X6" s="1"/>
  <c r="S6"/>
  <c r="W6" s="1"/>
  <c r="AB6" s="1"/>
  <c r="R6"/>
  <c r="Q6"/>
  <c r="P6"/>
  <c r="O6"/>
  <c r="AA6" s="1"/>
  <c r="N6"/>
  <c r="V5"/>
  <c r="Z5" s="1"/>
  <c r="U5"/>
  <c r="Y5" s="1"/>
  <c r="T5"/>
  <c r="X5" s="1"/>
  <c r="S5"/>
  <c r="W5" s="1"/>
  <c r="R5"/>
  <c r="Q5"/>
  <c r="P5"/>
  <c r="O5"/>
  <c r="AA5" s="1"/>
  <c r="N5"/>
  <c r="V4"/>
  <c r="Z4" s="1"/>
  <c r="U4"/>
  <c r="Y4" s="1"/>
  <c r="T4"/>
  <c r="X4" s="1"/>
  <c r="S4"/>
  <c r="W4" s="1"/>
  <c r="AB4" s="1"/>
  <c r="R4"/>
  <c r="Q4"/>
  <c r="P4"/>
  <c r="O4"/>
  <c r="AA4" s="1"/>
  <c r="N4"/>
  <c r="V3"/>
  <c r="Z3" s="1"/>
  <c r="U3"/>
  <c r="Y3" s="1"/>
  <c r="T3"/>
  <c r="X3" s="1"/>
  <c r="S3"/>
  <c r="W3" s="1"/>
  <c r="R3"/>
  <c r="Q3"/>
  <c r="P3"/>
  <c r="O3"/>
  <c r="AA3" s="1"/>
  <c r="N3"/>
  <c r="V2"/>
  <c r="Z2" s="1"/>
  <c r="U2"/>
  <c r="Y2" s="1"/>
  <c r="T2"/>
  <c r="X2" s="1"/>
  <c r="S2"/>
  <c r="W2" s="1"/>
  <c r="AB2" s="1"/>
  <c r="R2"/>
  <c r="Q2"/>
  <c r="P2"/>
  <c r="O2"/>
  <c r="AA2" s="1"/>
  <c r="N2"/>
  <c r="H199" i="41" l="1"/>
  <c r="H201"/>
  <c r="H205"/>
  <c r="H207"/>
  <c r="H213"/>
  <c r="H215"/>
  <c r="H223"/>
  <c r="H229"/>
  <c r="H233"/>
  <c r="H196"/>
  <c r="H200"/>
  <c r="H206"/>
  <c r="H214"/>
  <c r="H216"/>
  <c r="H218"/>
  <c r="H222"/>
  <c r="H224"/>
  <c r="H230"/>
  <c r="H232"/>
  <c r="R144"/>
  <c r="D193" s="1"/>
  <c r="H193"/>
  <c r="R135"/>
  <c r="D171" s="1"/>
  <c r="H171"/>
  <c r="R153"/>
  <c r="D211" s="1"/>
  <c r="H211"/>
  <c r="R136"/>
  <c r="D170" s="1"/>
  <c r="H170"/>
  <c r="R143"/>
  <c r="R152"/>
  <c r="D210" s="1"/>
  <c r="H210"/>
  <c r="R145"/>
  <c r="D188" s="1"/>
  <c r="H188"/>
  <c r="K192"/>
  <c r="K191"/>
  <c r="F162"/>
  <c r="F172"/>
  <c r="F180"/>
  <c r="F202"/>
  <c r="F204"/>
  <c r="F208"/>
  <c r="F212"/>
  <c r="F226"/>
  <c r="F165"/>
  <c r="F173"/>
  <c r="F177"/>
  <c r="F203"/>
  <c r="F217"/>
  <c r="L191"/>
  <c r="L192"/>
  <c r="M192"/>
  <c r="M191"/>
  <c r="F164"/>
  <c r="F168"/>
  <c r="F182"/>
  <c r="F184"/>
  <c r="F186"/>
  <c r="F190"/>
  <c r="F194"/>
  <c r="F220"/>
  <c r="F228"/>
  <c r="F161"/>
  <c r="F163"/>
  <c r="F167"/>
  <c r="F169"/>
  <c r="F181"/>
  <c r="F185"/>
  <c r="F187"/>
  <c r="F189"/>
  <c r="F195"/>
  <c r="F197"/>
  <c r="F209"/>
  <c r="F221"/>
  <c r="I164"/>
  <c r="I168"/>
  <c r="I182"/>
  <c r="I184"/>
  <c r="I186"/>
  <c r="I190"/>
  <c r="I194"/>
  <c r="I161"/>
  <c r="I163"/>
  <c r="I167"/>
  <c r="I169"/>
  <c r="I181"/>
  <c r="I185"/>
  <c r="I187"/>
  <c r="I189"/>
  <c r="I195"/>
  <c r="I197"/>
  <c r="I209"/>
  <c r="I220"/>
  <c r="I228"/>
  <c r="I221"/>
  <c r="I196"/>
  <c r="I200"/>
  <c r="I206"/>
  <c r="I199"/>
  <c r="I201"/>
  <c r="I205"/>
  <c r="I207"/>
  <c r="I214"/>
  <c r="I216"/>
  <c r="I218"/>
  <c r="I222"/>
  <c r="I224"/>
  <c r="I230"/>
  <c r="I232"/>
  <c r="I213"/>
  <c r="I215"/>
  <c r="I223"/>
  <c r="I229"/>
  <c r="I233"/>
  <c r="F196"/>
  <c r="F200"/>
  <c r="F206"/>
  <c r="F214"/>
  <c r="F216"/>
  <c r="F218"/>
  <c r="F222"/>
  <c r="F224"/>
  <c r="F230"/>
  <c r="F232"/>
  <c r="F199"/>
  <c r="F201"/>
  <c r="F205"/>
  <c r="F207"/>
  <c r="F213"/>
  <c r="F215"/>
  <c r="F223"/>
  <c r="F229"/>
  <c r="F233"/>
  <c r="L161"/>
  <c r="L163"/>
  <c r="L167"/>
  <c r="L169"/>
  <c r="L181"/>
  <c r="L185"/>
  <c r="L187"/>
  <c r="L189"/>
  <c r="L195"/>
  <c r="L197"/>
  <c r="L209"/>
  <c r="L164"/>
  <c r="L168"/>
  <c r="L182"/>
  <c r="L184"/>
  <c r="L186"/>
  <c r="L190"/>
  <c r="L194"/>
  <c r="L221"/>
  <c r="L220"/>
  <c r="L228"/>
  <c r="L165"/>
  <c r="L173"/>
  <c r="L177"/>
  <c r="L203"/>
  <c r="L162"/>
  <c r="L172"/>
  <c r="L180"/>
  <c r="L202"/>
  <c r="L204"/>
  <c r="L208"/>
  <c r="L217"/>
  <c r="L212"/>
  <c r="L226"/>
  <c r="J161"/>
  <c r="J163"/>
  <c r="J167"/>
  <c r="J169"/>
  <c r="J181"/>
  <c r="J185"/>
  <c r="J187"/>
  <c r="J189"/>
  <c r="J195"/>
  <c r="J197"/>
  <c r="J209"/>
  <c r="J164"/>
  <c r="J168"/>
  <c r="J182"/>
  <c r="J184"/>
  <c r="J186"/>
  <c r="J190"/>
  <c r="J194"/>
  <c r="J221"/>
  <c r="J220"/>
  <c r="J228"/>
  <c r="K162"/>
  <c r="K172"/>
  <c r="K180"/>
  <c r="K202"/>
  <c r="K204"/>
  <c r="K208"/>
  <c r="K165"/>
  <c r="K173"/>
  <c r="K177"/>
  <c r="K203"/>
  <c r="K212"/>
  <c r="K226"/>
  <c r="K217"/>
  <c r="M162"/>
  <c r="M172"/>
  <c r="M180"/>
  <c r="M202"/>
  <c r="M204"/>
  <c r="M208"/>
  <c r="M165"/>
  <c r="M173"/>
  <c r="M177"/>
  <c r="M203"/>
  <c r="M212"/>
  <c r="M226"/>
  <c r="M217"/>
  <c r="K164"/>
  <c r="K168"/>
  <c r="K182"/>
  <c r="K184"/>
  <c r="K186"/>
  <c r="K190"/>
  <c r="K194"/>
  <c r="K161"/>
  <c r="K163"/>
  <c r="K167"/>
  <c r="K169"/>
  <c r="K181"/>
  <c r="K185"/>
  <c r="K187"/>
  <c r="K189"/>
  <c r="K195"/>
  <c r="K197"/>
  <c r="K209"/>
  <c r="K220"/>
  <c r="K228"/>
  <c r="K221"/>
  <c r="J165"/>
  <c r="J173"/>
  <c r="J177"/>
  <c r="J203"/>
  <c r="J162"/>
  <c r="J172"/>
  <c r="J180"/>
  <c r="J202"/>
  <c r="J204"/>
  <c r="J208"/>
  <c r="J217"/>
  <c r="J212"/>
  <c r="J226"/>
  <c r="M164"/>
  <c r="M168"/>
  <c r="M182"/>
  <c r="M184"/>
  <c r="M186"/>
  <c r="M190"/>
  <c r="M194"/>
  <c r="M161"/>
  <c r="M163"/>
  <c r="M167"/>
  <c r="M169"/>
  <c r="M181"/>
  <c r="M185"/>
  <c r="M187"/>
  <c r="M189"/>
  <c r="M195"/>
  <c r="M197"/>
  <c r="M209"/>
  <c r="M220"/>
  <c r="M228"/>
  <c r="M221"/>
  <c r="E199"/>
  <c r="E201"/>
  <c r="E205"/>
  <c r="E207"/>
  <c r="E213"/>
  <c r="E215"/>
  <c r="E223"/>
  <c r="E229"/>
  <c r="E233"/>
  <c r="E196"/>
  <c r="E200"/>
  <c r="E206"/>
  <c r="E214"/>
  <c r="E216"/>
  <c r="E218"/>
  <c r="E222"/>
  <c r="E224"/>
  <c r="E230"/>
  <c r="E232"/>
  <c r="Q144"/>
  <c r="C193" s="1"/>
  <c r="Q135"/>
  <c r="C171" s="1"/>
  <c r="Q153"/>
  <c r="C211" s="1"/>
  <c r="R139"/>
  <c r="D174" s="1"/>
  <c r="T148"/>
  <c r="T129"/>
  <c r="F166" s="1"/>
  <c r="T130"/>
  <c r="F225" s="1"/>
  <c r="S130"/>
  <c r="E225" s="1"/>
  <c r="S129"/>
  <c r="E166" s="1"/>
  <c r="S148"/>
  <c r="S126"/>
  <c r="S125"/>
  <c r="S127"/>
  <c r="E176" s="1"/>
  <c r="P127"/>
  <c r="J131"/>
  <c r="P131" s="1"/>
  <c r="T127"/>
  <c r="F176" s="1"/>
  <c r="P126"/>
  <c r="J130"/>
  <c r="P130" s="1"/>
  <c r="P125"/>
  <c r="R125" s="1"/>
  <c r="J129"/>
  <c r="P129" s="1"/>
  <c r="Q131"/>
  <c r="T131"/>
  <c r="R131"/>
  <c r="Q143"/>
  <c r="K148"/>
  <c r="J148"/>
  <c r="P148" s="1"/>
  <c r="Q151"/>
  <c r="R151"/>
  <c r="Q147"/>
  <c r="R147"/>
  <c r="R141"/>
  <c r="D179" s="1"/>
  <c r="Q141"/>
  <c r="C179" s="1"/>
  <c r="R146"/>
  <c r="Q136"/>
  <c r="C170" s="1"/>
  <c r="Q133"/>
  <c r="Q140"/>
  <c r="R140"/>
  <c r="Q128"/>
  <c r="C227" s="1"/>
  <c r="R128"/>
  <c r="D227" s="1"/>
  <c r="Q142"/>
  <c r="C183" s="1"/>
  <c r="R142"/>
  <c r="D183" s="1"/>
  <c r="Q149"/>
  <c r="R149"/>
  <c r="R126"/>
  <c r="Q124"/>
  <c r="Q152"/>
  <c r="C210" s="1"/>
  <c r="R124"/>
  <c r="Q139"/>
  <c r="C174" s="1"/>
  <c r="R134"/>
  <c r="O87" i="17"/>
  <c r="O105" s="1"/>
  <c r="C103"/>
  <c r="T14" s="1"/>
  <c r="I103"/>
  <c r="T16" s="1"/>
  <c r="C138"/>
  <c r="T19" s="1"/>
  <c r="C17" i="26"/>
  <c r="C35" s="1"/>
  <c r="U4" s="1"/>
  <c r="I17"/>
  <c r="S6" s="1"/>
  <c r="O17"/>
  <c r="S8" s="1"/>
  <c r="F33"/>
  <c r="T5" s="1"/>
  <c r="L33"/>
  <c r="T7" s="1"/>
  <c r="F52"/>
  <c r="S10" s="1"/>
  <c r="L52"/>
  <c r="S12" s="1"/>
  <c r="F68"/>
  <c r="T10" s="1"/>
  <c r="L68"/>
  <c r="T12" s="1"/>
  <c r="F87"/>
  <c r="S15" s="1"/>
  <c r="L87"/>
  <c r="S17" s="1"/>
  <c r="F103"/>
  <c r="T15" s="1"/>
  <c r="L103"/>
  <c r="T17" s="1"/>
  <c r="C122"/>
  <c r="S19" s="1"/>
  <c r="C138"/>
  <c r="T19" s="1"/>
  <c r="I35"/>
  <c r="U6" s="1"/>
  <c r="O35"/>
  <c r="U8" s="1"/>
  <c r="F70"/>
  <c r="U10" s="1"/>
  <c r="L70"/>
  <c r="U12" s="1"/>
  <c r="F105"/>
  <c r="U15" s="1"/>
  <c r="L105"/>
  <c r="U17" s="1"/>
  <c r="F35"/>
  <c r="U5" s="1"/>
  <c r="S5"/>
  <c r="S7"/>
  <c r="C70"/>
  <c r="U9" s="1"/>
  <c r="S9"/>
  <c r="I70"/>
  <c r="U11" s="1"/>
  <c r="S11"/>
  <c r="O70"/>
  <c r="U13" s="1"/>
  <c r="S13"/>
  <c r="C105"/>
  <c r="U14" s="1"/>
  <c r="S14"/>
  <c r="I105"/>
  <c r="U16" s="1"/>
  <c r="S16"/>
  <c r="O105"/>
  <c r="S18"/>
  <c r="C35" i="17"/>
  <c r="U4" s="1"/>
  <c r="S4"/>
  <c r="I35"/>
  <c r="U6" s="1"/>
  <c r="S6"/>
  <c r="O35"/>
  <c r="U8" s="1"/>
  <c r="S8"/>
  <c r="F70"/>
  <c r="U10" s="1"/>
  <c r="S10"/>
  <c r="L70"/>
  <c r="U12" s="1"/>
  <c r="S12"/>
  <c r="F105"/>
  <c r="U15" s="1"/>
  <c r="S15"/>
  <c r="S17"/>
  <c r="L105"/>
  <c r="U17" s="1"/>
  <c r="F35"/>
  <c r="U5" s="1"/>
  <c r="S5"/>
  <c r="L35"/>
  <c r="U7" s="1"/>
  <c r="S7"/>
  <c r="C70"/>
  <c r="U9" s="1"/>
  <c r="S9"/>
  <c r="I70"/>
  <c r="U11" s="1"/>
  <c r="S11"/>
  <c r="O70"/>
  <c r="U13" s="1"/>
  <c r="S13"/>
  <c r="S14"/>
  <c r="I105"/>
  <c r="U16" s="1"/>
  <c r="S16"/>
  <c r="S18"/>
  <c r="C140"/>
  <c r="U19" s="1"/>
  <c r="S19"/>
  <c r="AB3" i="16"/>
  <c r="AB5"/>
  <c r="AB7"/>
  <c r="AB9"/>
  <c r="AB11"/>
  <c r="AB13"/>
  <c r="AB15"/>
  <c r="AB17"/>
  <c r="AB19"/>
  <c r="AB26"/>
  <c r="AB27"/>
  <c r="AB28"/>
  <c r="AB30"/>
  <c r="AB33"/>
  <c r="AB35"/>
  <c r="AB37"/>
  <c r="AB40"/>
  <c r="AB41"/>
  <c r="AB42"/>
  <c r="AB43"/>
  <c r="AB44"/>
  <c r="AB45"/>
  <c r="AB48"/>
  <c r="AB58"/>
  <c r="AB60"/>
  <c r="AB62"/>
  <c r="AB64"/>
  <c r="AB66"/>
  <c r="AB68"/>
  <c r="AB70"/>
  <c r="AB73"/>
  <c r="AB75"/>
  <c r="AB77"/>
  <c r="AB81"/>
  <c r="AB83"/>
  <c r="AB23"/>
  <c r="AB32"/>
  <c r="AB47"/>
  <c r="AB50"/>
  <c r="AB51"/>
  <c r="AB53"/>
  <c r="AB55"/>
  <c r="AB71"/>
  <c r="N21"/>
  <c r="P21"/>
  <c r="P22"/>
  <c r="Q37"/>
  <c r="AA37" s="1"/>
  <c r="Q50"/>
  <c r="AA50" s="1"/>
  <c r="Q71"/>
  <c r="AA71" s="1"/>
  <c r="O21"/>
  <c r="AA21" s="1"/>
  <c r="Q21"/>
  <c r="O22"/>
  <c r="AA22" s="1"/>
  <c r="Q22"/>
  <c r="N23"/>
  <c r="P23"/>
  <c r="AA23" s="1"/>
  <c r="R23"/>
  <c r="O25"/>
  <c r="AA25" s="1"/>
  <c r="N44"/>
  <c r="R44"/>
  <c r="AA44" s="1"/>
  <c r="Q125" i="41" l="1"/>
  <c r="C105" i="17"/>
  <c r="U14" s="1"/>
  <c r="H191" i="41"/>
  <c r="H192"/>
  <c r="H161"/>
  <c r="H163"/>
  <c r="H167"/>
  <c r="H169"/>
  <c r="H181"/>
  <c r="H185"/>
  <c r="H187"/>
  <c r="H189"/>
  <c r="H195"/>
  <c r="H197"/>
  <c r="H209"/>
  <c r="H221"/>
  <c r="H164"/>
  <c r="H168"/>
  <c r="H182"/>
  <c r="H184"/>
  <c r="H186"/>
  <c r="H190"/>
  <c r="H194"/>
  <c r="H220"/>
  <c r="H228"/>
  <c r="Q126"/>
  <c r="H165"/>
  <c r="H173"/>
  <c r="H177"/>
  <c r="H203"/>
  <c r="H217"/>
  <c r="H162"/>
  <c r="H172"/>
  <c r="H180"/>
  <c r="H202"/>
  <c r="H204"/>
  <c r="H208"/>
  <c r="H212"/>
  <c r="H226"/>
  <c r="Q129"/>
  <c r="C166" s="1"/>
  <c r="H166"/>
  <c r="Q130"/>
  <c r="C225" s="1"/>
  <c r="H225"/>
  <c r="R127"/>
  <c r="D176" s="1"/>
  <c r="H176"/>
  <c r="C161"/>
  <c r="C163"/>
  <c r="C167"/>
  <c r="C169"/>
  <c r="C181"/>
  <c r="C185"/>
  <c r="C187"/>
  <c r="C189"/>
  <c r="C195"/>
  <c r="C197"/>
  <c r="C209"/>
  <c r="C221"/>
  <c r="C164"/>
  <c r="C168"/>
  <c r="C182"/>
  <c r="C184"/>
  <c r="C186"/>
  <c r="C190"/>
  <c r="C194"/>
  <c r="C220"/>
  <c r="C228"/>
  <c r="I192"/>
  <c r="I191"/>
  <c r="D164"/>
  <c r="D168"/>
  <c r="D182"/>
  <c r="D184"/>
  <c r="D186"/>
  <c r="D190"/>
  <c r="D194"/>
  <c r="D220"/>
  <c r="D228"/>
  <c r="D161"/>
  <c r="D163"/>
  <c r="D167"/>
  <c r="D169"/>
  <c r="D181"/>
  <c r="D185"/>
  <c r="D187"/>
  <c r="D189"/>
  <c r="D195"/>
  <c r="D197"/>
  <c r="D209"/>
  <c r="D221"/>
  <c r="E161"/>
  <c r="E163"/>
  <c r="E167"/>
  <c r="E169"/>
  <c r="E181"/>
  <c r="E185"/>
  <c r="E187"/>
  <c r="E189"/>
  <c r="E195"/>
  <c r="E197"/>
  <c r="E209"/>
  <c r="E221"/>
  <c r="E164"/>
  <c r="E168"/>
  <c r="E182"/>
  <c r="E184"/>
  <c r="E186"/>
  <c r="E190"/>
  <c r="E194"/>
  <c r="E220"/>
  <c r="E228"/>
  <c r="E191"/>
  <c r="E192"/>
  <c r="D196"/>
  <c r="D200"/>
  <c r="D206"/>
  <c r="D214"/>
  <c r="D216"/>
  <c r="D218"/>
  <c r="D222"/>
  <c r="D224"/>
  <c r="D230"/>
  <c r="D232"/>
  <c r="D199"/>
  <c r="D201"/>
  <c r="D205"/>
  <c r="D207"/>
  <c r="D213"/>
  <c r="D215"/>
  <c r="D223"/>
  <c r="D229"/>
  <c r="D233"/>
  <c r="C199"/>
  <c r="C201"/>
  <c r="C205"/>
  <c r="C207"/>
  <c r="C213"/>
  <c r="C215"/>
  <c r="C223"/>
  <c r="C229"/>
  <c r="C233"/>
  <c r="C196"/>
  <c r="C200"/>
  <c r="C206"/>
  <c r="C214"/>
  <c r="C216"/>
  <c r="C218"/>
  <c r="C222"/>
  <c r="C224"/>
  <c r="C230"/>
  <c r="C232"/>
  <c r="D162"/>
  <c r="D172"/>
  <c r="D180"/>
  <c r="D202"/>
  <c r="D204"/>
  <c r="D208"/>
  <c r="D212"/>
  <c r="D226"/>
  <c r="D165"/>
  <c r="D173"/>
  <c r="D177"/>
  <c r="D203"/>
  <c r="D217"/>
  <c r="C165"/>
  <c r="C173"/>
  <c r="C177"/>
  <c r="C203"/>
  <c r="C217"/>
  <c r="C162"/>
  <c r="C172"/>
  <c r="C180"/>
  <c r="C202"/>
  <c r="C204"/>
  <c r="C208"/>
  <c r="C212"/>
  <c r="C226"/>
  <c r="E165"/>
  <c r="E173"/>
  <c r="E177"/>
  <c r="E203"/>
  <c r="E217"/>
  <c r="E162"/>
  <c r="E172"/>
  <c r="E180"/>
  <c r="E202"/>
  <c r="E204"/>
  <c r="E208"/>
  <c r="E212"/>
  <c r="E226"/>
  <c r="F192"/>
  <c r="F191"/>
  <c r="Q127"/>
  <c r="C176" s="1"/>
  <c r="R130"/>
  <c r="D225" s="1"/>
  <c r="R129"/>
  <c r="D166" s="1"/>
  <c r="Q148"/>
  <c r="R148"/>
  <c r="C140" i="26"/>
  <c r="U19" s="1"/>
  <c r="L35"/>
  <c r="U7" s="1"/>
  <c r="S4"/>
  <c r="F523" i="39"/>
  <c r="E522"/>
  <c r="F471"/>
  <c r="E470"/>
  <c r="E418"/>
  <c r="F419" s="1"/>
  <c r="E366"/>
  <c r="F367" s="1"/>
  <c r="F315"/>
  <c r="E314"/>
  <c r="F263"/>
  <c r="E262"/>
  <c r="F211"/>
  <c r="E210"/>
  <c r="E158"/>
  <c r="E106"/>
  <c r="F107" s="1"/>
  <c r="F55"/>
  <c r="E54"/>
  <c r="T516"/>
  <c r="S516"/>
  <c r="T515"/>
  <c r="S515"/>
  <c r="T514"/>
  <c r="S514"/>
  <c r="T513"/>
  <c r="S513"/>
  <c r="T512"/>
  <c r="S512"/>
  <c r="T511"/>
  <c r="S511"/>
  <c r="T510"/>
  <c r="S510"/>
  <c r="T509"/>
  <c r="S509"/>
  <c r="T508"/>
  <c r="S508"/>
  <c r="T507"/>
  <c r="S507"/>
  <c r="T506"/>
  <c r="S506"/>
  <c r="T505"/>
  <c r="S505"/>
  <c r="T504"/>
  <c r="S504"/>
  <c r="T503"/>
  <c r="S503"/>
  <c r="T502"/>
  <c r="S502"/>
  <c r="T501"/>
  <c r="S501"/>
  <c r="T500"/>
  <c r="S500"/>
  <c r="T499"/>
  <c r="S499"/>
  <c r="T498"/>
  <c r="S498"/>
  <c r="T497"/>
  <c r="S497"/>
  <c r="T496"/>
  <c r="S496"/>
  <c r="T495"/>
  <c r="S495"/>
  <c r="T494"/>
  <c r="S494"/>
  <c r="T493"/>
  <c r="S493"/>
  <c r="T492"/>
  <c r="S492"/>
  <c r="T491"/>
  <c r="S491"/>
  <c r="T490"/>
  <c r="S490"/>
  <c r="T489"/>
  <c r="S489"/>
  <c r="T488"/>
  <c r="S488"/>
  <c r="T487"/>
  <c r="S487"/>
  <c r="T486"/>
  <c r="S486"/>
  <c r="T485"/>
  <c r="S485"/>
  <c r="T484"/>
  <c r="S484"/>
  <c r="T483"/>
  <c r="S483"/>
  <c r="T482"/>
  <c r="S482"/>
  <c r="T481"/>
  <c r="S481"/>
  <c r="T480"/>
  <c r="S480"/>
  <c r="T479"/>
  <c r="S479"/>
  <c r="T478"/>
  <c r="S478"/>
  <c r="T477"/>
  <c r="T518" s="1"/>
  <c r="S477"/>
  <c r="E520" s="1"/>
  <c r="T464"/>
  <c r="S464"/>
  <c r="T463"/>
  <c r="S463"/>
  <c r="T462"/>
  <c r="S462"/>
  <c r="T461"/>
  <c r="S461"/>
  <c r="T460"/>
  <c r="S460"/>
  <c r="T459"/>
  <c r="S459"/>
  <c r="T458"/>
  <c r="S458"/>
  <c r="T457"/>
  <c r="S457"/>
  <c r="T456"/>
  <c r="S456"/>
  <c r="T455"/>
  <c r="S455"/>
  <c r="T454"/>
  <c r="S454"/>
  <c r="T453"/>
  <c r="S453"/>
  <c r="T452"/>
  <c r="S452"/>
  <c r="T451"/>
  <c r="S451"/>
  <c r="T450"/>
  <c r="S450"/>
  <c r="T449"/>
  <c r="S449"/>
  <c r="T448"/>
  <c r="S448"/>
  <c r="T447"/>
  <c r="S447"/>
  <c r="T446"/>
  <c r="S446"/>
  <c r="T445"/>
  <c r="S445"/>
  <c r="T444"/>
  <c r="S444"/>
  <c r="T443"/>
  <c r="S443"/>
  <c r="T442"/>
  <c r="S442"/>
  <c r="T441"/>
  <c r="S441"/>
  <c r="T440"/>
  <c r="S440"/>
  <c r="T439"/>
  <c r="S439"/>
  <c r="T438"/>
  <c r="S438"/>
  <c r="T437"/>
  <c r="S437"/>
  <c r="T436"/>
  <c r="S436"/>
  <c r="T435"/>
  <c r="S435"/>
  <c r="T434"/>
  <c r="S434"/>
  <c r="T433"/>
  <c r="S433"/>
  <c r="T432"/>
  <c r="S432"/>
  <c r="T431"/>
  <c r="S431"/>
  <c r="T430"/>
  <c r="S430"/>
  <c r="T429"/>
  <c r="S429"/>
  <c r="T428"/>
  <c r="S428"/>
  <c r="T427"/>
  <c r="S427"/>
  <c r="T426"/>
  <c r="S426"/>
  <c r="T425"/>
  <c r="T466" s="1"/>
  <c r="S425"/>
  <c r="E468" s="1"/>
  <c r="T412"/>
  <c r="S412"/>
  <c r="T411"/>
  <c r="S411"/>
  <c r="T410"/>
  <c r="S410"/>
  <c r="T409"/>
  <c r="S409"/>
  <c r="T408"/>
  <c r="S408"/>
  <c r="T407"/>
  <c r="S407"/>
  <c r="T406"/>
  <c r="S406"/>
  <c r="T405"/>
  <c r="S405"/>
  <c r="T404"/>
  <c r="S404"/>
  <c r="T403"/>
  <c r="S403"/>
  <c r="T402"/>
  <c r="S402"/>
  <c r="T401"/>
  <c r="S401"/>
  <c r="T400"/>
  <c r="S400"/>
  <c r="T399"/>
  <c r="S399"/>
  <c r="T398"/>
  <c r="S398"/>
  <c r="T397"/>
  <c r="S397"/>
  <c r="T396"/>
  <c r="S396"/>
  <c r="T395"/>
  <c r="S395"/>
  <c r="T394"/>
  <c r="S394"/>
  <c r="T393"/>
  <c r="S393"/>
  <c r="T392"/>
  <c r="S392"/>
  <c r="T391"/>
  <c r="S391"/>
  <c r="T390"/>
  <c r="S390"/>
  <c r="T389"/>
  <c r="S389"/>
  <c r="T388"/>
  <c r="S388"/>
  <c r="T387"/>
  <c r="S387"/>
  <c r="T386"/>
  <c r="S386"/>
  <c r="T385"/>
  <c r="S385"/>
  <c r="T384"/>
  <c r="S384"/>
  <c r="T383"/>
  <c r="S383"/>
  <c r="T382"/>
  <c r="S382"/>
  <c r="T381"/>
  <c r="S381"/>
  <c r="T380"/>
  <c r="S380"/>
  <c r="T379"/>
  <c r="S379"/>
  <c r="T378"/>
  <c r="S378"/>
  <c r="T377"/>
  <c r="S377"/>
  <c r="T376"/>
  <c r="S376"/>
  <c r="T375"/>
  <c r="S375"/>
  <c r="T374"/>
  <c r="S374"/>
  <c r="T373"/>
  <c r="T414" s="1"/>
  <c r="S373"/>
  <c r="E416" s="1"/>
  <c r="T360"/>
  <c r="S360"/>
  <c r="T359"/>
  <c r="S359"/>
  <c r="T358"/>
  <c r="S358"/>
  <c r="T357"/>
  <c r="S357"/>
  <c r="T356"/>
  <c r="S356"/>
  <c r="T355"/>
  <c r="S355"/>
  <c r="T354"/>
  <c r="S354"/>
  <c r="T353"/>
  <c r="S353"/>
  <c r="T352"/>
  <c r="S352"/>
  <c r="T351"/>
  <c r="S351"/>
  <c r="T350"/>
  <c r="S350"/>
  <c r="T349"/>
  <c r="S349"/>
  <c r="T348"/>
  <c r="S348"/>
  <c r="T347"/>
  <c r="S347"/>
  <c r="T346"/>
  <c r="S346"/>
  <c r="T345"/>
  <c r="S345"/>
  <c r="T344"/>
  <c r="S344"/>
  <c r="T343"/>
  <c r="S343"/>
  <c r="T342"/>
  <c r="S342"/>
  <c r="T341"/>
  <c r="S341"/>
  <c r="T340"/>
  <c r="S340"/>
  <c r="T339"/>
  <c r="S339"/>
  <c r="T338"/>
  <c r="S338"/>
  <c r="T337"/>
  <c r="S337"/>
  <c r="T336"/>
  <c r="S336"/>
  <c r="T335"/>
  <c r="S335"/>
  <c r="T334"/>
  <c r="S334"/>
  <c r="T333"/>
  <c r="S333"/>
  <c r="T332"/>
  <c r="S332"/>
  <c r="T331"/>
  <c r="S331"/>
  <c r="T330"/>
  <c r="S330"/>
  <c r="T329"/>
  <c r="S329"/>
  <c r="T328"/>
  <c r="S328"/>
  <c r="T327"/>
  <c r="S327"/>
  <c r="T326"/>
  <c r="S326"/>
  <c r="T325"/>
  <c r="S325"/>
  <c r="T324"/>
  <c r="S324"/>
  <c r="T323"/>
  <c r="S323"/>
  <c r="T322"/>
  <c r="S322"/>
  <c r="T321"/>
  <c r="T362" s="1"/>
  <c r="S321"/>
  <c r="E364" s="1"/>
  <c r="T308"/>
  <c r="S308"/>
  <c r="T307"/>
  <c r="S307"/>
  <c r="T306"/>
  <c r="S306"/>
  <c r="T305"/>
  <c r="S305"/>
  <c r="T304"/>
  <c r="S304"/>
  <c r="T303"/>
  <c r="S303"/>
  <c r="T302"/>
  <c r="S302"/>
  <c r="T301"/>
  <c r="S301"/>
  <c r="T300"/>
  <c r="S300"/>
  <c r="T299"/>
  <c r="S299"/>
  <c r="T298"/>
  <c r="S298"/>
  <c r="T297"/>
  <c r="S297"/>
  <c r="T296"/>
  <c r="S296"/>
  <c r="T295"/>
  <c r="S295"/>
  <c r="T294"/>
  <c r="S294"/>
  <c r="T293"/>
  <c r="S293"/>
  <c r="T292"/>
  <c r="S292"/>
  <c r="T291"/>
  <c r="S291"/>
  <c r="T290"/>
  <c r="S290"/>
  <c r="T289"/>
  <c r="S289"/>
  <c r="T288"/>
  <c r="S288"/>
  <c r="T287"/>
  <c r="S287"/>
  <c r="T286"/>
  <c r="S286"/>
  <c r="T285"/>
  <c r="S285"/>
  <c r="T284"/>
  <c r="S284"/>
  <c r="T283"/>
  <c r="S283"/>
  <c r="T282"/>
  <c r="S282"/>
  <c r="T281"/>
  <c r="S281"/>
  <c r="T280"/>
  <c r="S280"/>
  <c r="T279"/>
  <c r="S279"/>
  <c r="T278"/>
  <c r="S278"/>
  <c r="T277"/>
  <c r="S277"/>
  <c r="T276"/>
  <c r="S276"/>
  <c r="T275"/>
  <c r="S275"/>
  <c r="T274"/>
  <c r="S274"/>
  <c r="T273"/>
  <c r="S273"/>
  <c r="T272"/>
  <c r="S272"/>
  <c r="T271"/>
  <c r="S271"/>
  <c r="T270"/>
  <c r="S270"/>
  <c r="T269"/>
  <c r="S269"/>
  <c r="E312" s="1"/>
  <c r="T256"/>
  <c r="S256"/>
  <c r="T255"/>
  <c r="S255"/>
  <c r="T254"/>
  <c r="S254"/>
  <c r="T253"/>
  <c r="S253"/>
  <c r="T252"/>
  <c r="S252"/>
  <c r="T251"/>
  <c r="S251"/>
  <c r="T250"/>
  <c r="S250"/>
  <c r="T249"/>
  <c r="S249"/>
  <c r="T248"/>
  <c r="S248"/>
  <c r="T247"/>
  <c r="S247"/>
  <c r="T246"/>
  <c r="S246"/>
  <c r="T245"/>
  <c r="S245"/>
  <c r="T244"/>
  <c r="S244"/>
  <c r="T243"/>
  <c r="S243"/>
  <c r="T242"/>
  <c r="S242"/>
  <c r="T241"/>
  <c r="S241"/>
  <c r="T240"/>
  <c r="S240"/>
  <c r="T239"/>
  <c r="S239"/>
  <c r="T238"/>
  <c r="S238"/>
  <c r="T237"/>
  <c r="S237"/>
  <c r="T236"/>
  <c r="S236"/>
  <c r="T235"/>
  <c r="S235"/>
  <c r="T234"/>
  <c r="S234"/>
  <c r="T233"/>
  <c r="S233"/>
  <c r="T232"/>
  <c r="S232"/>
  <c r="T231"/>
  <c r="S231"/>
  <c r="T230"/>
  <c r="S230"/>
  <c r="T229"/>
  <c r="S229"/>
  <c r="T228"/>
  <c r="S228"/>
  <c r="T227"/>
  <c r="S227"/>
  <c r="T226"/>
  <c r="S226"/>
  <c r="T225"/>
  <c r="S225"/>
  <c r="T224"/>
  <c r="S224"/>
  <c r="T223"/>
  <c r="S223"/>
  <c r="T222"/>
  <c r="S222"/>
  <c r="T221"/>
  <c r="S221"/>
  <c r="T220"/>
  <c r="S220"/>
  <c r="T219"/>
  <c r="S219"/>
  <c r="T218"/>
  <c r="S218"/>
  <c r="T217"/>
  <c r="T258" s="1"/>
  <c r="S217"/>
  <c r="T204"/>
  <c r="S204"/>
  <c r="T203"/>
  <c r="S203"/>
  <c r="T202"/>
  <c r="S202"/>
  <c r="T201"/>
  <c r="S201"/>
  <c r="T200"/>
  <c r="S200"/>
  <c r="T199"/>
  <c r="S199"/>
  <c r="T198"/>
  <c r="S198"/>
  <c r="T197"/>
  <c r="S197"/>
  <c r="T196"/>
  <c r="S196"/>
  <c r="T195"/>
  <c r="S195"/>
  <c r="T194"/>
  <c r="S194"/>
  <c r="T193"/>
  <c r="S193"/>
  <c r="T192"/>
  <c r="S192"/>
  <c r="T191"/>
  <c r="S191"/>
  <c r="T190"/>
  <c r="S190"/>
  <c r="T189"/>
  <c r="S189"/>
  <c r="T188"/>
  <c r="S188"/>
  <c r="T187"/>
  <c r="S187"/>
  <c r="T186"/>
  <c r="S186"/>
  <c r="T185"/>
  <c r="S185"/>
  <c r="T184"/>
  <c r="S184"/>
  <c r="T183"/>
  <c r="S183"/>
  <c r="T182"/>
  <c r="S182"/>
  <c r="T181"/>
  <c r="S181"/>
  <c r="T180"/>
  <c r="S180"/>
  <c r="T179"/>
  <c r="S179"/>
  <c r="T178"/>
  <c r="S178"/>
  <c r="T177"/>
  <c r="S177"/>
  <c r="T176"/>
  <c r="S176"/>
  <c r="T175"/>
  <c r="S175"/>
  <c r="T174"/>
  <c r="S174"/>
  <c r="T173"/>
  <c r="S173"/>
  <c r="T172"/>
  <c r="S172"/>
  <c r="T171"/>
  <c r="S171"/>
  <c r="T170"/>
  <c r="S170"/>
  <c r="T169"/>
  <c r="S169"/>
  <c r="T168"/>
  <c r="S168"/>
  <c r="T167"/>
  <c r="S167"/>
  <c r="T166"/>
  <c r="S166"/>
  <c r="T165"/>
  <c r="S165"/>
  <c r="E208" s="1"/>
  <c r="T152"/>
  <c r="S152"/>
  <c r="T151"/>
  <c r="S151"/>
  <c r="T150"/>
  <c r="S150"/>
  <c r="T149"/>
  <c r="S149"/>
  <c r="T148"/>
  <c r="S148"/>
  <c r="T147"/>
  <c r="S147"/>
  <c r="T146"/>
  <c r="S146"/>
  <c r="T145"/>
  <c r="S145"/>
  <c r="T144"/>
  <c r="S144"/>
  <c r="T143"/>
  <c r="S143"/>
  <c r="T142"/>
  <c r="S142"/>
  <c r="T141"/>
  <c r="S141"/>
  <c r="T140"/>
  <c r="S140"/>
  <c r="T139"/>
  <c r="S139"/>
  <c r="T138"/>
  <c r="S138"/>
  <c r="T137"/>
  <c r="S137"/>
  <c r="T136"/>
  <c r="S136"/>
  <c r="T135"/>
  <c r="S135"/>
  <c r="T134"/>
  <c r="S134"/>
  <c r="T133"/>
  <c r="S133"/>
  <c r="T132"/>
  <c r="S132"/>
  <c r="T131"/>
  <c r="S131"/>
  <c r="T130"/>
  <c r="S130"/>
  <c r="T129"/>
  <c r="S129"/>
  <c r="T128"/>
  <c r="S128"/>
  <c r="T127"/>
  <c r="S127"/>
  <c r="T126"/>
  <c r="S126"/>
  <c r="T125"/>
  <c r="S125"/>
  <c r="T124"/>
  <c r="S124"/>
  <c r="T123"/>
  <c r="S123"/>
  <c r="T122"/>
  <c r="S122"/>
  <c r="T121"/>
  <c r="S121"/>
  <c r="T120"/>
  <c r="S120"/>
  <c r="T119"/>
  <c r="S119"/>
  <c r="T118"/>
  <c r="S118"/>
  <c r="T117"/>
  <c r="S117"/>
  <c r="T116"/>
  <c r="S116"/>
  <c r="T115"/>
  <c r="S115"/>
  <c r="T114"/>
  <c r="S114"/>
  <c r="T113"/>
  <c r="T154" s="1"/>
  <c r="S113"/>
  <c r="E156" s="1"/>
  <c r="T100"/>
  <c r="S100"/>
  <c r="T99"/>
  <c r="S99"/>
  <c r="T98"/>
  <c r="S98"/>
  <c r="T97"/>
  <c r="S97"/>
  <c r="T96"/>
  <c r="S96"/>
  <c r="T95"/>
  <c r="S95"/>
  <c r="T94"/>
  <c r="S94"/>
  <c r="T93"/>
  <c r="S93"/>
  <c r="T92"/>
  <c r="S92"/>
  <c r="T91"/>
  <c r="S91"/>
  <c r="T90"/>
  <c r="S90"/>
  <c r="T89"/>
  <c r="S89"/>
  <c r="T88"/>
  <c r="S88"/>
  <c r="T87"/>
  <c r="S87"/>
  <c r="T86"/>
  <c r="S86"/>
  <c r="T85"/>
  <c r="S85"/>
  <c r="T84"/>
  <c r="S84"/>
  <c r="T83"/>
  <c r="S83"/>
  <c r="T82"/>
  <c r="S82"/>
  <c r="T81"/>
  <c r="S81"/>
  <c r="T80"/>
  <c r="S80"/>
  <c r="T79"/>
  <c r="S79"/>
  <c r="T78"/>
  <c r="S78"/>
  <c r="T77"/>
  <c r="S77"/>
  <c r="T76"/>
  <c r="S76"/>
  <c r="T75"/>
  <c r="S75"/>
  <c r="T74"/>
  <c r="S74"/>
  <c r="T73"/>
  <c r="S73"/>
  <c r="T72"/>
  <c r="S72"/>
  <c r="T71"/>
  <c r="S71"/>
  <c r="T70"/>
  <c r="S70"/>
  <c r="T69"/>
  <c r="S69"/>
  <c r="T68"/>
  <c r="S68"/>
  <c r="T67"/>
  <c r="S67"/>
  <c r="T66"/>
  <c r="S66"/>
  <c r="T65"/>
  <c r="S65"/>
  <c r="T64"/>
  <c r="S64"/>
  <c r="T63"/>
  <c r="S63"/>
  <c r="T62"/>
  <c r="S62"/>
  <c r="T61"/>
  <c r="T102" s="1"/>
  <c r="S61"/>
  <c r="E104" s="1"/>
  <c r="T48"/>
  <c r="S48"/>
  <c r="T47"/>
  <c r="S47"/>
  <c r="T46"/>
  <c r="S46"/>
  <c r="T45"/>
  <c r="S45"/>
  <c r="T44"/>
  <c r="S44"/>
  <c r="T43"/>
  <c r="S43"/>
  <c r="T42"/>
  <c r="S42"/>
  <c r="T41"/>
  <c r="S41"/>
  <c r="T40"/>
  <c r="S40"/>
  <c r="T39"/>
  <c r="S39"/>
  <c r="T38"/>
  <c r="S38"/>
  <c r="T37"/>
  <c r="S37"/>
  <c r="T36"/>
  <c r="S36"/>
  <c r="T35"/>
  <c r="S35"/>
  <c r="T34"/>
  <c r="S34"/>
  <c r="T33"/>
  <c r="S33"/>
  <c r="T32"/>
  <c r="S32"/>
  <c r="T31"/>
  <c r="S31"/>
  <c r="T30"/>
  <c r="S30"/>
  <c r="T29"/>
  <c r="S29"/>
  <c r="T28"/>
  <c r="S28"/>
  <c r="T27"/>
  <c r="S27"/>
  <c r="T26"/>
  <c r="S26"/>
  <c r="T25"/>
  <c r="S25"/>
  <c r="T24"/>
  <c r="S24"/>
  <c r="T23"/>
  <c r="S23"/>
  <c r="T22"/>
  <c r="S22"/>
  <c r="T21"/>
  <c r="S21"/>
  <c r="T20"/>
  <c r="S20"/>
  <c r="T19"/>
  <c r="S19"/>
  <c r="T18"/>
  <c r="S18"/>
  <c r="T17"/>
  <c r="S17"/>
  <c r="T16"/>
  <c r="S16"/>
  <c r="T15"/>
  <c r="S15"/>
  <c r="T14"/>
  <c r="S14"/>
  <c r="T13"/>
  <c r="S13"/>
  <c r="T12"/>
  <c r="S12"/>
  <c r="T11"/>
  <c r="S11"/>
  <c r="T10"/>
  <c r="S10"/>
  <c r="T9"/>
  <c r="T50" s="1"/>
  <c r="S9"/>
  <c r="E52" s="1"/>
  <c r="L523" l="1"/>
  <c r="N523"/>
  <c r="P523"/>
  <c r="K523"/>
  <c r="M523"/>
  <c r="O523"/>
  <c r="Q523"/>
  <c r="D192" i="41"/>
  <c r="D191"/>
  <c r="C191"/>
  <c r="C192"/>
  <c r="E260" i="39"/>
  <c r="T206"/>
  <c r="T310"/>
  <c r="K471"/>
  <c r="M471"/>
  <c r="O471"/>
  <c r="Q471"/>
  <c r="L471"/>
  <c r="N471"/>
  <c r="P471"/>
  <c r="L419"/>
  <c r="N419"/>
  <c r="P419"/>
  <c r="K419"/>
  <c r="M419"/>
  <c r="O419"/>
  <c r="Q419"/>
  <c r="K367"/>
  <c r="M367"/>
  <c r="O367"/>
  <c r="Q367"/>
  <c r="L367"/>
  <c r="N367"/>
  <c r="P367"/>
  <c r="L315"/>
  <c r="N315"/>
  <c r="P315"/>
  <c r="K315"/>
  <c r="M315"/>
  <c r="O315"/>
  <c r="Q315"/>
  <c r="K263"/>
  <c r="M263"/>
  <c r="O263"/>
  <c r="Q263"/>
  <c r="L263"/>
  <c r="N263"/>
  <c r="P263"/>
  <c r="G55"/>
  <c r="L55"/>
  <c r="N55"/>
  <c r="P55"/>
  <c r="K55"/>
  <c r="M55"/>
  <c r="O55"/>
  <c r="Q55"/>
  <c r="I55"/>
  <c r="J55"/>
  <c r="L211"/>
  <c r="N211"/>
  <c r="P211"/>
  <c r="K211"/>
  <c r="M211"/>
  <c r="O211"/>
  <c r="Q211"/>
  <c r="K159"/>
  <c r="M159"/>
  <c r="O159"/>
  <c r="Q159"/>
  <c r="L159"/>
  <c r="N159"/>
  <c r="P159"/>
  <c r="L107"/>
  <c r="N107"/>
  <c r="P107"/>
  <c r="K107"/>
  <c r="M107"/>
  <c r="O107"/>
  <c r="Q107"/>
  <c r="G523"/>
  <c r="J523"/>
  <c r="I523"/>
  <c r="G471"/>
  <c r="J471"/>
  <c r="I471"/>
  <c r="G419"/>
  <c r="J419"/>
  <c r="I419"/>
  <c r="G367"/>
  <c r="J367"/>
  <c r="I367"/>
  <c r="G315"/>
  <c r="J315"/>
  <c r="I315"/>
  <c r="G263"/>
  <c r="J263"/>
  <c r="I263"/>
  <c r="G211"/>
  <c r="J211"/>
  <c r="I211"/>
  <c r="H159"/>
  <c r="J159"/>
  <c r="I159"/>
  <c r="G107"/>
  <c r="J107"/>
  <c r="I107"/>
  <c r="S518"/>
  <c r="E518"/>
  <c r="L519" s="1"/>
  <c r="S466"/>
  <c r="E466"/>
  <c r="M467" s="1"/>
  <c r="S414"/>
  <c r="I417" s="1"/>
  <c r="E414"/>
  <c r="L415" s="1"/>
  <c r="S362"/>
  <c r="I365" s="1"/>
  <c r="E362"/>
  <c r="M363" s="1"/>
  <c r="S310"/>
  <c r="F313" s="1"/>
  <c r="E310"/>
  <c r="L311" s="1"/>
  <c r="S258"/>
  <c r="E258"/>
  <c r="K259" s="1"/>
  <c r="S206"/>
  <c r="H209" s="1"/>
  <c r="E206"/>
  <c r="S154"/>
  <c r="E154"/>
  <c r="M155" s="1"/>
  <c r="S102"/>
  <c r="H105" s="1"/>
  <c r="E102"/>
  <c r="N103" s="1"/>
  <c r="S50"/>
  <c r="E50"/>
  <c r="H51" s="1"/>
  <c r="H519"/>
  <c r="H521"/>
  <c r="H523"/>
  <c r="H469"/>
  <c r="H471"/>
  <c r="F417"/>
  <c r="H419"/>
  <c r="H363"/>
  <c r="H365"/>
  <c r="H367"/>
  <c r="H313"/>
  <c r="H315"/>
  <c r="F261"/>
  <c r="H261"/>
  <c r="H263"/>
  <c r="F207"/>
  <c r="H211"/>
  <c r="G159"/>
  <c r="F159"/>
  <c r="H107"/>
  <c r="F51"/>
  <c r="F53"/>
  <c r="H53"/>
  <c r="H55"/>
  <c r="H311" l="1"/>
  <c r="F209"/>
  <c r="H207"/>
  <c r="N207"/>
  <c r="O519"/>
  <c r="K519"/>
  <c r="N519"/>
  <c r="Q519"/>
  <c r="M519"/>
  <c r="P519"/>
  <c r="G521"/>
  <c r="K521"/>
  <c r="M521"/>
  <c r="O521"/>
  <c r="Q521"/>
  <c r="L521"/>
  <c r="N521"/>
  <c r="P521"/>
  <c r="I521"/>
  <c r="F521"/>
  <c r="J521"/>
  <c r="I51"/>
  <c r="Q51"/>
  <c r="M51"/>
  <c r="P51"/>
  <c r="L51"/>
  <c r="J51"/>
  <c r="O51"/>
  <c r="K51"/>
  <c r="N51"/>
  <c r="Q207"/>
  <c r="F259"/>
  <c r="N259"/>
  <c r="Q259"/>
  <c r="M259"/>
  <c r="P259"/>
  <c r="L259"/>
  <c r="O259"/>
  <c r="O311"/>
  <c r="K311"/>
  <c r="N311"/>
  <c r="Q311"/>
  <c r="M311"/>
  <c r="P311"/>
  <c r="P363"/>
  <c r="L363"/>
  <c r="O363"/>
  <c r="K363"/>
  <c r="F365"/>
  <c r="N363"/>
  <c r="Q363"/>
  <c r="H415"/>
  <c r="O415"/>
  <c r="K415"/>
  <c r="N415"/>
  <c r="Q415"/>
  <c r="M415"/>
  <c r="P415"/>
  <c r="P467"/>
  <c r="L467"/>
  <c r="O467"/>
  <c r="K467"/>
  <c r="F467"/>
  <c r="N467"/>
  <c r="Q467"/>
  <c r="G469"/>
  <c r="L469"/>
  <c r="N469"/>
  <c r="P469"/>
  <c r="K469"/>
  <c r="M469"/>
  <c r="O469"/>
  <c r="Q469"/>
  <c r="I469"/>
  <c r="J469"/>
  <c r="G417"/>
  <c r="K417"/>
  <c r="M417"/>
  <c r="O417"/>
  <c r="Q417"/>
  <c r="L417"/>
  <c r="N417"/>
  <c r="P417"/>
  <c r="J417"/>
  <c r="G365"/>
  <c r="L365"/>
  <c r="N365"/>
  <c r="P365"/>
  <c r="K365"/>
  <c r="M365"/>
  <c r="O365"/>
  <c r="Q365"/>
  <c r="J365"/>
  <c r="G313"/>
  <c r="K313"/>
  <c r="M313"/>
  <c r="O313"/>
  <c r="Q313"/>
  <c r="L313"/>
  <c r="N313"/>
  <c r="P313"/>
  <c r="I313"/>
  <c r="J313"/>
  <c r="G261"/>
  <c r="L261"/>
  <c r="N261"/>
  <c r="P261"/>
  <c r="K261"/>
  <c r="M261"/>
  <c r="O261"/>
  <c r="Q261"/>
  <c r="I261"/>
  <c r="J261"/>
  <c r="G53"/>
  <c r="K53"/>
  <c r="M53"/>
  <c r="O53"/>
  <c r="Q53"/>
  <c r="L53"/>
  <c r="N53"/>
  <c r="P53"/>
  <c r="I53"/>
  <c r="J53"/>
  <c r="M207"/>
  <c r="P207"/>
  <c r="L207"/>
  <c r="O207"/>
  <c r="K207"/>
  <c r="P155"/>
  <c r="L155"/>
  <c r="O155"/>
  <c r="K155"/>
  <c r="F155"/>
  <c r="N155"/>
  <c r="Q155"/>
  <c r="Q103"/>
  <c r="G209"/>
  <c r="K209"/>
  <c r="M209"/>
  <c r="O209"/>
  <c r="Q209"/>
  <c r="L209"/>
  <c r="N209"/>
  <c r="P209"/>
  <c r="I209"/>
  <c r="J209"/>
  <c r="L157"/>
  <c r="N157"/>
  <c r="P157"/>
  <c r="K157"/>
  <c r="M157"/>
  <c r="O157"/>
  <c r="Q157"/>
  <c r="I157"/>
  <c r="F157"/>
  <c r="J157"/>
  <c r="M103"/>
  <c r="P103"/>
  <c r="L103"/>
  <c r="O103"/>
  <c r="K103"/>
  <c r="G105"/>
  <c r="K105"/>
  <c r="M105"/>
  <c r="O105"/>
  <c r="Q105"/>
  <c r="L105"/>
  <c r="N105"/>
  <c r="P105"/>
  <c r="J105"/>
  <c r="I105"/>
  <c r="F519"/>
  <c r="J519"/>
  <c r="I519"/>
  <c r="H467"/>
  <c r="J467"/>
  <c r="I467"/>
  <c r="F415"/>
  <c r="J415"/>
  <c r="I415"/>
  <c r="G363"/>
  <c r="J363"/>
  <c r="I363"/>
  <c r="F363"/>
  <c r="F311"/>
  <c r="J311"/>
  <c r="I311"/>
  <c r="H259"/>
  <c r="J259"/>
  <c r="I259"/>
  <c r="G207"/>
  <c r="J207"/>
  <c r="I207"/>
  <c r="H155"/>
  <c r="J155"/>
  <c r="I155"/>
  <c r="G155"/>
  <c r="F103"/>
  <c r="J103"/>
  <c r="I103"/>
  <c r="H417"/>
  <c r="G519"/>
  <c r="G467"/>
  <c r="F469"/>
  <c r="G415"/>
  <c r="G311"/>
  <c r="G259"/>
  <c r="H157"/>
  <c r="G157"/>
  <c r="H103"/>
  <c r="F105"/>
  <c r="G103"/>
  <c r="G51"/>
  <c r="F471" i="37" l="1"/>
  <c r="E470"/>
  <c r="F419"/>
  <c r="E418"/>
  <c r="F367"/>
  <c r="E366"/>
  <c r="F315"/>
  <c r="E314"/>
  <c r="F263"/>
  <c r="E262"/>
  <c r="F211"/>
  <c r="E210"/>
  <c r="E158"/>
  <c r="E106"/>
  <c r="F107" s="1"/>
  <c r="E54"/>
  <c r="F55" s="1"/>
  <c r="T464"/>
  <c r="S464"/>
  <c r="T463"/>
  <c r="S463"/>
  <c r="T462"/>
  <c r="S462"/>
  <c r="T461"/>
  <c r="S461"/>
  <c r="T460"/>
  <c r="S460"/>
  <c r="T459"/>
  <c r="S459"/>
  <c r="T458"/>
  <c r="S458"/>
  <c r="T457"/>
  <c r="S457"/>
  <c r="T456"/>
  <c r="S456"/>
  <c r="T455"/>
  <c r="S455"/>
  <c r="T454"/>
  <c r="S454"/>
  <c r="T453"/>
  <c r="S453"/>
  <c r="T452"/>
  <c r="S452"/>
  <c r="T451"/>
  <c r="S451"/>
  <c r="T450"/>
  <c r="S450"/>
  <c r="T449"/>
  <c r="S449"/>
  <c r="T448"/>
  <c r="S448"/>
  <c r="T447"/>
  <c r="S447"/>
  <c r="T446"/>
  <c r="S446"/>
  <c r="T445"/>
  <c r="S445"/>
  <c r="T444"/>
  <c r="S444"/>
  <c r="T443"/>
  <c r="S443"/>
  <c r="T442"/>
  <c r="S442"/>
  <c r="T441"/>
  <c r="S441"/>
  <c r="T440"/>
  <c r="S440"/>
  <c r="T439"/>
  <c r="S439"/>
  <c r="T438"/>
  <c r="S438"/>
  <c r="T437"/>
  <c r="S437"/>
  <c r="T436"/>
  <c r="S436"/>
  <c r="T435"/>
  <c r="S435"/>
  <c r="T434"/>
  <c r="S434"/>
  <c r="T433"/>
  <c r="S433"/>
  <c r="T432"/>
  <c r="S432"/>
  <c r="T431"/>
  <c r="S431"/>
  <c r="T430"/>
  <c r="S430"/>
  <c r="T429"/>
  <c r="S429"/>
  <c r="T428"/>
  <c r="S428"/>
  <c r="T427"/>
  <c r="S427"/>
  <c r="T426"/>
  <c r="S426"/>
  <c r="T425"/>
  <c r="T466" s="1"/>
  <c r="S425"/>
  <c r="E468" s="1"/>
  <c r="T412"/>
  <c r="S412"/>
  <c r="T411"/>
  <c r="S411"/>
  <c r="T410"/>
  <c r="S410"/>
  <c r="T409"/>
  <c r="S409"/>
  <c r="T408"/>
  <c r="S408"/>
  <c r="T407"/>
  <c r="S407"/>
  <c r="T406"/>
  <c r="S406"/>
  <c r="T405"/>
  <c r="S405"/>
  <c r="T404"/>
  <c r="S404"/>
  <c r="T403"/>
  <c r="S403"/>
  <c r="T402"/>
  <c r="S402"/>
  <c r="T401"/>
  <c r="S401"/>
  <c r="T400"/>
  <c r="S400"/>
  <c r="T399"/>
  <c r="S399"/>
  <c r="T398"/>
  <c r="S398"/>
  <c r="T397"/>
  <c r="S397"/>
  <c r="T396"/>
  <c r="S396"/>
  <c r="T395"/>
  <c r="S395"/>
  <c r="T394"/>
  <c r="S394"/>
  <c r="T393"/>
  <c r="S393"/>
  <c r="T392"/>
  <c r="S392"/>
  <c r="T391"/>
  <c r="S391"/>
  <c r="T390"/>
  <c r="S390"/>
  <c r="T389"/>
  <c r="S389"/>
  <c r="T388"/>
  <c r="S388"/>
  <c r="T387"/>
  <c r="S387"/>
  <c r="T386"/>
  <c r="S386"/>
  <c r="T385"/>
  <c r="S385"/>
  <c r="T384"/>
  <c r="S384"/>
  <c r="T383"/>
  <c r="S383"/>
  <c r="T382"/>
  <c r="S382"/>
  <c r="T381"/>
  <c r="S381"/>
  <c r="T380"/>
  <c r="S380"/>
  <c r="T379"/>
  <c r="S379"/>
  <c r="T378"/>
  <c r="S378"/>
  <c r="T377"/>
  <c r="S377"/>
  <c r="T376"/>
  <c r="S376"/>
  <c r="T375"/>
  <c r="S375"/>
  <c r="T374"/>
  <c r="S374"/>
  <c r="T373"/>
  <c r="T414" s="1"/>
  <c r="S373"/>
  <c r="E416" s="1"/>
  <c r="T360"/>
  <c r="S360"/>
  <c r="T359"/>
  <c r="S359"/>
  <c r="T358"/>
  <c r="S358"/>
  <c r="T357"/>
  <c r="S357"/>
  <c r="T356"/>
  <c r="S356"/>
  <c r="T355"/>
  <c r="S355"/>
  <c r="T354"/>
  <c r="S354"/>
  <c r="T353"/>
  <c r="S353"/>
  <c r="T352"/>
  <c r="S352"/>
  <c r="T351"/>
  <c r="S351"/>
  <c r="T350"/>
  <c r="S350"/>
  <c r="T349"/>
  <c r="S349"/>
  <c r="T348"/>
  <c r="S348"/>
  <c r="T347"/>
  <c r="S347"/>
  <c r="T346"/>
  <c r="S346"/>
  <c r="T345"/>
  <c r="S345"/>
  <c r="T344"/>
  <c r="S344"/>
  <c r="T343"/>
  <c r="S343"/>
  <c r="T342"/>
  <c r="S342"/>
  <c r="T341"/>
  <c r="S341"/>
  <c r="T340"/>
  <c r="S340"/>
  <c r="T339"/>
  <c r="S339"/>
  <c r="T338"/>
  <c r="S338"/>
  <c r="T337"/>
  <c r="S337"/>
  <c r="T336"/>
  <c r="S336"/>
  <c r="T335"/>
  <c r="S335"/>
  <c r="T334"/>
  <c r="S334"/>
  <c r="T333"/>
  <c r="S333"/>
  <c r="T332"/>
  <c r="S332"/>
  <c r="T331"/>
  <c r="S331"/>
  <c r="T330"/>
  <c r="S330"/>
  <c r="T329"/>
  <c r="S329"/>
  <c r="T328"/>
  <c r="S328"/>
  <c r="T327"/>
  <c r="S327"/>
  <c r="T326"/>
  <c r="S326"/>
  <c r="T325"/>
  <c r="S325"/>
  <c r="T324"/>
  <c r="S324"/>
  <c r="T323"/>
  <c r="S323"/>
  <c r="T322"/>
  <c r="S322"/>
  <c r="T321"/>
  <c r="T362" s="1"/>
  <c r="S321"/>
  <c r="E364" s="1"/>
  <c r="T308"/>
  <c r="S308"/>
  <c r="T307"/>
  <c r="S307"/>
  <c r="T306"/>
  <c r="S306"/>
  <c r="T305"/>
  <c r="S305"/>
  <c r="T304"/>
  <c r="S304"/>
  <c r="T303"/>
  <c r="S303"/>
  <c r="T302"/>
  <c r="S302"/>
  <c r="T301"/>
  <c r="S301"/>
  <c r="T300"/>
  <c r="S300"/>
  <c r="T299"/>
  <c r="S299"/>
  <c r="T298"/>
  <c r="S298"/>
  <c r="T297"/>
  <c r="S297"/>
  <c r="T296"/>
  <c r="S296"/>
  <c r="T295"/>
  <c r="S295"/>
  <c r="T294"/>
  <c r="S294"/>
  <c r="T293"/>
  <c r="S293"/>
  <c r="T292"/>
  <c r="S292"/>
  <c r="T291"/>
  <c r="S291"/>
  <c r="T290"/>
  <c r="S290"/>
  <c r="T289"/>
  <c r="S289"/>
  <c r="T288"/>
  <c r="S288"/>
  <c r="T287"/>
  <c r="S287"/>
  <c r="T286"/>
  <c r="S286"/>
  <c r="T285"/>
  <c r="S285"/>
  <c r="T284"/>
  <c r="S284"/>
  <c r="T283"/>
  <c r="S283"/>
  <c r="T282"/>
  <c r="S282"/>
  <c r="T281"/>
  <c r="S281"/>
  <c r="T280"/>
  <c r="S280"/>
  <c r="T279"/>
  <c r="S279"/>
  <c r="T278"/>
  <c r="S278"/>
  <c r="T277"/>
  <c r="S277"/>
  <c r="T276"/>
  <c r="S276"/>
  <c r="T275"/>
  <c r="S275"/>
  <c r="T274"/>
  <c r="S274"/>
  <c r="T273"/>
  <c r="S273"/>
  <c r="T272"/>
  <c r="S272"/>
  <c r="T271"/>
  <c r="S271"/>
  <c r="T270"/>
  <c r="S270"/>
  <c r="T269"/>
  <c r="T310" s="1"/>
  <c r="S269"/>
  <c r="E312" s="1"/>
  <c r="T256"/>
  <c r="S256"/>
  <c r="T255"/>
  <c r="S255"/>
  <c r="T254"/>
  <c r="S254"/>
  <c r="T253"/>
  <c r="S253"/>
  <c r="T252"/>
  <c r="S252"/>
  <c r="T251"/>
  <c r="S251"/>
  <c r="T250"/>
  <c r="S250"/>
  <c r="T249"/>
  <c r="S249"/>
  <c r="T248"/>
  <c r="S248"/>
  <c r="T247"/>
  <c r="S247"/>
  <c r="T246"/>
  <c r="S246"/>
  <c r="T245"/>
  <c r="S245"/>
  <c r="T244"/>
  <c r="S244"/>
  <c r="T243"/>
  <c r="S243"/>
  <c r="T242"/>
  <c r="S242"/>
  <c r="T241"/>
  <c r="S241"/>
  <c r="T240"/>
  <c r="S240"/>
  <c r="T239"/>
  <c r="S239"/>
  <c r="T238"/>
  <c r="S238"/>
  <c r="T237"/>
  <c r="S237"/>
  <c r="T236"/>
  <c r="S236"/>
  <c r="T235"/>
  <c r="S235"/>
  <c r="T234"/>
  <c r="S234"/>
  <c r="T233"/>
  <c r="S233"/>
  <c r="T232"/>
  <c r="S232"/>
  <c r="T231"/>
  <c r="S231"/>
  <c r="T230"/>
  <c r="S230"/>
  <c r="T229"/>
  <c r="S229"/>
  <c r="T228"/>
  <c r="S228"/>
  <c r="T227"/>
  <c r="S227"/>
  <c r="T226"/>
  <c r="S226"/>
  <c r="T225"/>
  <c r="S225"/>
  <c r="T224"/>
  <c r="S224"/>
  <c r="T223"/>
  <c r="S223"/>
  <c r="T222"/>
  <c r="S222"/>
  <c r="T221"/>
  <c r="S221"/>
  <c r="T220"/>
  <c r="S220"/>
  <c r="T219"/>
  <c r="S219"/>
  <c r="T218"/>
  <c r="S218"/>
  <c r="T217"/>
  <c r="T258" s="1"/>
  <c r="S217"/>
  <c r="E260" s="1"/>
  <c r="T204"/>
  <c r="S204"/>
  <c r="T203"/>
  <c r="S203"/>
  <c r="T202"/>
  <c r="S202"/>
  <c r="T201"/>
  <c r="S201"/>
  <c r="T200"/>
  <c r="S200"/>
  <c r="T199"/>
  <c r="S199"/>
  <c r="T198"/>
  <c r="S198"/>
  <c r="T197"/>
  <c r="S197"/>
  <c r="T196"/>
  <c r="S196"/>
  <c r="T195"/>
  <c r="S195"/>
  <c r="T194"/>
  <c r="S194"/>
  <c r="T193"/>
  <c r="S193"/>
  <c r="T192"/>
  <c r="S192"/>
  <c r="T191"/>
  <c r="S191"/>
  <c r="T190"/>
  <c r="S190"/>
  <c r="T189"/>
  <c r="S189"/>
  <c r="T188"/>
  <c r="S188"/>
  <c r="T187"/>
  <c r="S187"/>
  <c r="T186"/>
  <c r="S186"/>
  <c r="T185"/>
  <c r="S185"/>
  <c r="T184"/>
  <c r="S184"/>
  <c r="T183"/>
  <c r="S183"/>
  <c r="T182"/>
  <c r="S182"/>
  <c r="T181"/>
  <c r="S181"/>
  <c r="T180"/>
  <c r="S180"/>
  <c r="T179"/>
  <c r="S179"/>
  <c r="T178"/>
  <c r="S178"/>
  <c r="T177"/>
  <c r="S177"/>
  <c r="T176"/>
  <c r="S176"/>
  <c r="T175"/>
  <c r="S175"/>
  <c r="T174"/>
  <c r="S174"/>
  <c r="T173"/>
  <c r="S173"/>
  <c r="T172"/>
  <c r="S172"/>
  <c r="T171"/>
  <c r="S171"/>
  <c r="T170"/>
  <c r="S170"/>
  <c r="T169"/>
  <c r="S169"/>
  <c r="T168"/>
  <c r="S168"/>
  <c r="T167"/>
  <c r="S167"/>
  <c r="T166"/>
  <c r="S166"/>
  <c r="T165"/>
  <c r="T206" s="1"/>
  <c r="S165"/>
  <c r="E208" s="1"/>
  <c r="T152"/>
  <c r="S152"/>
  <c r="T151"/>
  <c r="S151"/>
  <c r="T150"/>
  <c r="S150"/>
  <c r="T149"/>
  <c r="S149"/>
  <c r="T148"/>
  <c r="S148"/>
  <c r="T147"/>
  <c r="S147"/>
  <c r="T146"/>
  <c r="S146"/>
  <c r="T145"/>
  <c r="S145"/>
  <c r="T144"/>
  <c r="S144"/>
  <c r="T143"/>
  <c r="S143"/>
  <c r="T142"/>
  <c r="S142"/>
  <c r="T141"/>
  <c r="S141"/>
  <c r="T140"/>
  <c r="S140"/>
  <c r="T139"/>
  <c r="S139"/>
  <c r="T138"/>
  <c r="S138"/>
  <c r="T137"/>
  <c r="S137"/>
  <c r="T136"/>
  <c r="S136"/>
  <c r="T135"/>
  <c r="S135"/>
  <c r="T134"/>
  <c r="S134"/>
  <c r="T133"/>
  <c r="S133"/>
  <c r="T132"/>
  <c r="S132"/>
  <c r="T131"/>
  <c r="S131"/>
  <c r="T130"/>
  <c r="S130"/>
  <c r="T129"/>
  <c r="S129"/>
  <c r="T128"/>
  <c r="S128"/>
  <c r="T127"/>
  <c r="S127"/>
  <c r="T126"/>
  <c r="S126"/>
  <c r="T125"/>
  <c r="S125"/>
  <c r="T124"/>
  <c r="S124"/>
  <c r="T123"/>
  <c r="S123"/>
  <c r="T122"/>
  <c r="S122"/>
  <c r="T121"/>
  <c r="S121"/>
  <c r="T120"/>
  <c r="S120"/>
  <c r="T119"/>
  <c r="S119"/>
  <c r="T118"/>
  <c r="S118"/>
  <c r="T117"/>
  <c r="S117"/>
  <c r="T116"/>
  <c r="S116"/>
  <c r="T115"/>
  <c r="S115"/>
  <c r="T114"/>
  <c r="S114"/>
  <c r="T113"/>
  <c r="T154" s="1"/>
  <c r="S113"/>
  <c r="E156" s="1"/>
  <c r="T100"/>
  <c r="S100"/>
  <c r="T99"/>
  <c r="S99"/>
  <c r="T98"/>
  <c r="S98"/>
  <c r="T97"/>
  <c r="S97"/>
  <c r="T96"/>
  <c r="S96"/>
  <c r="T95"/>
  <c r="S95"/>
  <c r="T94"/>
  <c r="S94"/>
  <c r="T93"/>
  <c r="S93"/>
  <c r="T92"/>
  <c r="S92"/>
  <c r="T91"/>
  <c r="S91"/>
  <c r="T90"/>
  <c r="S90"/>
  <c r="T89"/>
  <c r="S89"/>
  <c r="T88"/>
  <c r="S88"/>
  <c r="T87"/>
  <c r="S87"/>
  <c r="T86"/>
  <c r="S86"/>
  <c r="T85"/>
  <c r="S85"/>
  <c r="T84"/>
  <c r="S84"/>
  <c r="T83"/>
  <c r="S83"/>
  <c r="T82"/>
  <c r="S82"/>
  <c r="T81"/>
  <c r="S81"/>
  <c r="T80"/>
  <c r="S80"/>
  <c r="T79"/>
  <c r="S79"/>
  <c r="T78"/>
  <c r="S78"/>
  <c r="T77"/>
  <c r="S77"/>
  <c r="T76"/>
  <c r="S76"/>
  <c r="T75"/>
  <c r="S75"/>
  <c r="T74"/>
  <c r="S74"/>
  <c r="T73"/>
  <c r="S73"/>
  <c r="T72"/>
  <c r="S72"/>
  <c r="T71"/>
  <c r="S71"/>
  <c r="T70"/>
  <c r="S70"/>
  <c r="T69"/>
  <c r="S69"/>
  <c r="T68"/>
  <c r="S68"/>
  <c r="T67"/>
  <c r="S67"/>
  <c r="T66"/>
  <c r="S66"/>
  <c r="T65"/>
  <c r="S65"/>
  <c r="T64"/>
  <c r="S64"/>
  <c r="T63"/>
  <c r="S63"/>
  <c r="T62"/>
  <c r="S62"/>
  <c r="T61"/>
  <c r="T102" s="1"/>
  <c r="S61"/>
  <c r="E104" s="1"/>
  <c r="T10"/>
  <c r="T11"/>
  <c r="T12"/>
  <c r="T13"/>
  <c r="T14"/>
  <c r="T15"/>
  <c r="T16"/>
  <c r="T17"/>
  <c r="T18"/>
  <c r="T19"/>
  <c r="T20"/>
  <c r="T21"/>
  <c r="T22"/>
  <c r="T23"/>
  <c r="T24"/>
  <c r="T25"/>
  <c r="T26"/>
  <c r="T27"/>
  <c r="T28"/>
  <c r="T29"/>
  <c r="T30"/>
  <c r="T31"/>
  <c r="T32"/>
  <c r="T33"/>
  <c r="T34"/>
  <c r="T35"/>
  <c r="T36"/>
  <c r="T37"/>
  <c r="T38"/>
  <c r="T39"/>
  <c r="T40"/>
  <c r="T41"/>
  <c r="T42"/>
  <c r="T43"/>
  <c r="T44"/>
  <c r="T45"/>
  <c r="T46"/>
  <c r="T47"/>
  <c r="T48"/>
  <c r="T9"/>
  <c r="S9"/>
  <c r="S10"/>
  <c r="S11"/>
  <c r="S12"/>
  <c r="S13"/>
  <c r="S14"/>
  <c r="S15"/>
  <c r="S16"/>
  <c r="S17"/>
  <c r="S18"/>
  <c r="S19"/>
  <c r="S20"/>
  <c r="S21"/>
  <c r="S22"/>
  <c r="S23"/>
  <c r="S24"/>
  <c r="S25"/>
  <c r="S26"/>
  <c r="S27"/>
  <c r="S28"/>
  <c r="S29"/>
  <c r="S30"/>
  <c r="S31"/>
  <c r="S32"/>
  <c r="S33"/>
  <c r="S34"/>
  <c r="S35"/>
  <c r="S36"/>
  <c r="S37"/>
  <c r="S38"/>
  <c r="S39"/>
  <c r="S40"/>
  <c r="S41"/>
  <c r="S42"/>
  <c r="S43"/>
  <c r="S44"/>
  <c r="S45"/>
  <c r="S46"/>
  <c r="S47"/>
  <c r="S48"/>
  <c r="G471" l="1"/>
  <c r="J471"/>
  <c r="L471"/>
  <c r="N471"/>
  <c r="P471"/>
  <c r="Q471"/>
  <c r="I471"/>
  <c r="K471"/>
  <c r="M471"/>
  <c r="O471"/>
  <c r="G419"/>
  <c r="I419"/>
  <c r="K419"/>
  <c r="M419"/>
  <c r="O419"/>
  <c r="Q419"/>
  <c r="J419"/>
  <c r="L419"/>
  <c r="N419"/>
  <c r="P419"/>
  <c r="G367"/>
  <c r="J367"/>
  <c r="L367"/>
  <c r="N367"/>
  <c r="P367"/>
  <c r="I367"/>
  <c r="K367"/>
  <c r="M367"/>
  <c r="O367"/>
  <c r="Q367"/>
  <c r="G315"/>
  <c r="J315"/>
  <c r="L315"/>
  <c r="N315"/>
  <c r="P315"/>
  <c r="I315"/>
  <c r="K315"/>
  <c r="M315"/>
  <c r="O315"/>
  <c r="Q315"/>
  <c r="G263"/>
  <c r="I263"/>
  <c r="K263"/>
  <c r="M263"/>
  <c r="O263"/>
  <c r="Q263"/>
  <c r="J263"/>
  <c r="L263"/>
  <c r="N263"/>
  <c r="P263"/>
  <c r="S206"/>
  <c r="G211"/>
  <c r="J211"/>
  <c r="L211"/>
  <c r="N211"/>
  <c r="P211"/>
  <c r="I211"/>
  <c r="K211"/>
  <c r="M211"/>
  <c r="O211"/>
  <c r="Q211"/>
  <c r="E206"/>
  <c r="L207" s="1"/>
  <c r="G159"/>
  <c r="I159"/>
  <c r="K159"/>
  <c r="M159"/>
  <c r="O159"/>
  <c r="Q159"/>
  <c r="J159"/>
  <c r="L159"/>
  <c r="N159"/>
  <c r="P159"/>
  <c r="E154"/>
  <c r="I155" s="1"/>
  <c r="S154"/>
  <c r="G107"/>
  <c r="J107"/>
  <c r="L107"/>
  <c r="N107"/>
  <c r="P107"/>
  <c r="I107"/>
  <c r="K107"/>
  <c r="M107"/>
  <c r="O107"/>
  <c r="Q107"/>
  <c r="G55"/>
  <c r="Q55"/>
  <c r="I55"/>
  <c r="K55"/>
  <c r="M55"/>
  <c r="O55"/>
  <c r="P55"/>
  <c r="J55"/>
  <c r="L55"/>
  <c r="N55"/>
  <c r="S362"/>
  <c r="H365" s="1"/>
  <c r="E362"/>
  <c r="L363" s="1"/>
  <c r="S310"/>
  <c r="F313" s="1"/>
  <c r="E310"/>
  <c r="L311" s="1"/>
  <c r="G207"/>
  <c r="E52"/>
  <c r="T50"/>
  <c r="E50"/>
  <c r="F159"/>
  <c r="G155"/>
  <c r="S50"/>
  <c r="S258"/>
  <c r="H261" s="1"/>
  <c r="E258"/>
  <c r="G259" s="1"/>
  <c r="S102"/>
  <c r="H105" s="1"/>
  <c r="E102"/>
  <c r="G103" s="1"/>
  <c r="S466"/>
  <c r="E466"/>
  <c r="H467" s="1"/>
  <c r="S414"/>
  <c r="E414"/>
  <c r="H415" s="1"/>
  <c r="F469"/>
  <c r="H469"/>
  <c r="H471"/>
  <c r="F417"/>
  <c r="H417"/>
  <c r="H419"/>
  <c r="F363"/>
  <c r="H363"/>
  <c r="F365"/>
  <c r="H367"/>
  <c r="F311"/>
  <c r="H311"/>
  <c r="H313"/>
  <c r="H315"/>
  <c r="F259"/>
  <c r="F261"/>
  <c r="H263"/>
  <c r="F207"/>
  <c r="H207"/>
  <c r="F209"/>
  <c r="H209"/>
  <c r="H211"/>
  <c r="F157"/>
  <c r="H157"/>
  <c r="H159"/>
  <c r="F103"/>
  <c r="F105"/>
  <c r="H107"/>
  <c r="H55"/>
  <c r="G469" l="1"/>
  <c r="J469"/>
  <c r="L469"/>
  <c r="N469"/>
  <c r="P469"/>
  <c r="I469"/>
  <c r="K469"/>
  <c r="M469"/>
  <c r="O469"/>
  <c r="Q469"/>
  <c r="G311"/>
  <c r="F467"/>
  <c r="J467"/>
  <c r="L467"/>
  <c r="N467"/>
  <c r="P467"/>
  <c r="I467"/>
  <c r="K467"/>
  <c r="M467"/>
  <c r="O467"/>
  <c r="Q467"/>
  <c r="H155"/>
  <c r="P415"/>
  <c r="L415"/>
  <c r="Q415"/>
  <c r="M415"/>
  <c r="I415"/>
  <c r="F415"/>
  <c r="N415"/>
  <c r="J415"/>
  <c r="O415"/>
  <c r="K415"/>
  <c r="G417"/>
  <c r="J417"/>
  <c r="L417"/>
  <c r="N417"/>
  <c r="P417"/>
  <c r="I417"/>
  <c r="K417"/>
  <c r="M417"/>
  <c r="O417"/>
  <c r="Q417"/>
  <c r="H53"/>
  <c r="Q363"/>
  <c r="M363"/>
  <c r="I363"/>
  <c r="N363"/>
  <c r="J363"/>
  <c r="G363"/>
  <c r="O363"/>
  <c r="K363"/>
  <c r="P363"/>
  <c r="Q311"/>
  <c r="G365"/>
  <c r="I365"/>
  <c r="K365"/>
  <c r="M365"/>
  <c r="O365"/>
  <c r="Q365"/>
  <c r="J365"/>
  <c r="L365"/>
  <c r="N365"/>
  <c r="P365"/>
  <c r="Q103"/>
  <c r="M311"/>
  <c r="I311"/>
  <c r="N311"/>
  <c r="J311"/>
  <c r="O311"/>
  <c r="K311"/>
  <c r="P311"/>
  <c r="H259"/>
  <c r="N259"/>
  <c r="J259"/>
  <c r="O259"/>
  <c r="K259"/>
  <c r="P259"/>
  <c r="L259"/>
  <c r="Q259"/>
  <c r="M259"/>
  <c r="I259"/>
  <c r="Q207"/>
  <c r="M207"/>
  <c r="I207"/>
  <c r="N207"/>
  <c r="J207"/>
  <c r="O207"/>
  <c r="K207"/>
  <c r="P207"/>
  <c r="F155"/>
  <c r="P155"/>
  <c r="N155"/>
  <c r="J155"/>
  <c r="O155"/>
  <c r="K155"/>
  <c r="L155"/>
  <c r="Q155"/>
  <c r="M155"/>
  <c r="M103"/>
  <c r="I103"/>
  <c r="N103"/>
  <c r="J103"/>
  <c r="O103"/>
  <c r="K103"/>
  <c r="P103"/>
  <c r="L103"/>
  <c r="H51"/>
  <c r="G313"/>
  <c r="I313"/>
  <c r="K313"/>
  <c r="M313"/>
  <c r="O313"/>
  <c r="Q313"/>
  <c r="J313"/>
  <c r="L313"/>
  <c r="N313"/>
  <c r="P313"/>
  <c r="G261"/>
  <c r="J261"/>
  <c r="L261"/>
  <c r="N261"/>
  <c r="P261"/>
  <c r="I261"/>
  <c r="K261"/>
  <c r="M261"/>
  <c r="O261"/>
  <c r="Q261"/>
  <c r="G209"/>
  <c r="I209"/>
  <c r="K209"/>
  <c r="M209"/>
  <c r="O209"/>
  <c r="Q209"/>
  <c r="J209"/>
  <c r="L209"/>
  <c r="N209"/>
  <c r="P209"/>
  <c r="G157"/>
  <c r="J157"/>
  <c r="L157"/>
  <c r="N157"/>
  <c r="P157"/>
  <c r="I157"/>
  <c r="K157"/>
  <c r="M157"/>
  <c r="O157"/>
  <c r="Q157"/>
  <c r="G105"/>
  <c r="I105"/>
  <c r="K105"/>
  <c r="M105"/>
  <c r="O105"/>
  <c r="Q105"/>
  <c r="J105"/>
  <c r="L105"/>
  <c r="N105"/>
  <c r="P105"/>
  <c r="Q53"/>
  <c r="J53"/>
  <c r="L53"/>
  <c r="N53"/>
  <c r="P53"/>
  <c r="I53"/>
  <c r="K53"/>
  <c r="M53"/>
  <c r="O53"/>
  <c r="Q51"/>
  <c r="I51"/>
  <c r="K51"/>
  <c r="M51"/>
  <c r="O51"/>
  <c r="P51"/>
  <c r="J51"/>
  <c r="L51"/>
  <c r="N51"/>
  <c r="G53"/>
  <c r="F53"/>
  <c r="F51"/>
  <c r="G51"/>
  <c r="H103"/>
  <c r="G467"/>
  <c r="G415"/>
  <c r="AK83" i="1" l="1"/>
  <c r="AN83" s="1"/>
  <c r="DC83" s="1"/>
  <c r="AO83"/>
  <c r="AP83"/>
  <c r="AK84"/>
  <c r="AN84" s="1"/>
  <c r="DC84" s="1"/>
  <c r="AO84"/>
  <c r="AP84"/>
  <c r="AP82"/>
  <c r="AO82"/>
  <c r="AK82"/>
  <c r="AN82" s="1"/>
  <c r="DC82" s="1"/>
  <c r="AK78"/>
  <c r="AN78" s="1"/>
  <c r="DC78" s="1"/>
  <c r="AO78"/>
  <c r="AP78"/>
  <c r="AK79"/>
  <c r="AN79" s="1"/>
  <c r="DC79" s="1"/>
  <c r="AO79"/>
  <c r="AP79"/>
  <c r="AK75"/>
  <c r="AN75" s="1"/>
  <c r="DC75" s="1"/>
  <c r="AO75"/>
  <c r="AP75"/>
  <c r="AK76"/>
  <c r="AN76" s="1"/>
  <c r="DC76" s="1"/>
  <c r="AO76"/>
  <c r="AP76"/>
  <c r="AK77"/>
  <c r="AN77" s="1"/>
  <c r="DC77" s="1"/>
  <c r="AO77"/>
  <c r="AP77"/>
  <c r="AP73"/>
  <c r="AP74"/>
  <c r="AP72"/>
  <c r="AK72"/>
  <c r="AN72" s="1"/>
  <c r="DC72" s="1"/>
  <c r="AO72"/>
  <c r="AK73"/>
  <c r="AN73" s="1"/>
  <c r="DC73" s="1"/>
  <c r="AO73"/>
  <c r="AK74"/>
  <c r="AN74" s="1"/>
  <c r="DC74" s="1"/>
  <c r="AO74"/>
  <c r="AO71"/>
  <c r="AK71"/>
  <c r="AN71" s="1"/>
  <c r="DC71" s="1"/>
  <c r="AK67"/>
  <c r="AN67" s="1"/>
  <c r="DC67" s="1"/>
  <c r="AO67"/>
  <c r="AP67"/>
  <c r="AP66"/>
  <c r="AO66"/>
  <c r="AK66"/>
  <c r="AK69"/>
  <c r="AN69" s="1"/>
  <c r="DC69" s="1"/>
  <c r="AO69"/>
  <c r="AP69"/>
  <c r="AK70"/>
  <c r="AN70" s="1"/>
  <c r="DC70" s="1"/>
  <c r="AO70"/>
  <c r="AP70"/>
  <c r="AP68"/>
  <c r="AO68"/>
  <c r="AK68"/>
  <c r="AN68" s="1"/>
  <c r="DC68" s="1"/>
  <c r="AK64"/>
  <c r="AN64" s="1"/>
  <c r="DC64" s="1"/>
  <c r="AO64"/>
  <c r="AP64"/>
  <c r="AK65"/>
  <c r="AN65" s="1"/>
  <c r="DC65" s="1"/>
  <c r="AO65"/>
  <c r="AP65"/>
  <c r="AK60"/>
  <c r="AN60" s="1"/>
  <c r="DC60" s="1"/>
  <c r="AO60"/>
  <c r="AP60"/>
  <c r="AK61"/>
  <c r="AN61" s="1"/>
  <c r="DC61" s="1"/>
  <c r="AO61"/>
  <c r="AP61"/>
  <c r="AK62"/>
  <c r="AN62" s="1"/>
  <c r="DC62" s="1"/>
  <c r="AO62"/>
  <c r="AP62"/>
  <c r="AK63"/>
  <c r="AN63" s="1"/>
  <c r="DC63" s="1"/>
  <c r="AO63"/>
  <c r="AP63"/>
  <c r="AP59"/>
  <c r="AO59"/>
  <c r="AK59"/>
  <c r="AP54"/>
  <c r="AP55"/>
  <c r="AP56"/>
  <c r="AO55"/>
  <c r="AO56"/>
  <c r="AO54"/>
  <c r="AH54"/>
  <c r="AI54"/>
  <c r="AJ54"/>
  <c r="AK54"/>
  <c r="AH55"/>
  <c r="AI55"/>
  <c r="AJ55"/>
  <c r="AK55"/>
  <c r="AH56"/>
  <c r="AI56"/>
  <c r="AJ56"/>
  <c r="AK56"/>
  <c r="AM54"/>
  <c r="AM55"/>
  <c r="AM56"/>
  <c r="AL54"/>
  <c r="AL55"/>
  <c r="AL56"/>
  <c r="AP57"/>
  <c r="AO57"/>
  <c r="AH57"/>
  <c r="G57"/>
  <c r="AI57" s="1"/>
  <c r="AO46"/>
  <c r="AP46"/>
  <c r="AO47"/>
  <c r="AP47"/>
  <c r="AO48"/>
  <c r="AP48"/>
  <c r="AO49"/>
  <c r="AP49"/>
  <c r="AO50"/>
  <c r="AP50"/>
  <c r="AO51"/>
  <c r="AP51"/>
  <c r="AO52"/>
  <c r="AP52"/>
  <c r="AO53"/>
  <c r="AP53"/>
  <c r="AP45"/>
  <c r="AK46"/>
  <c r="AK47"/>
  <c r="AK48"/>
  <c r="AK49"/>
  <c r="AK50"/>
  <c r="AK51"/>
  <c r="AK52"/>
  <c r="AK53"/>
  <c r="AP43"/>
  <c r="AO43"/>
  <c r="AK43"/>
  <c r="AP42"/>
  <c r="AO42"/>
  <c r="AK42"/>
  <c r="AO41"/>
  <c r="AP41"/>
  <c r="AP40"/>
  <c r="AK41"/>
  <c r="AK40"/>
  <c r="AO40"/>
  <c r="EY60" l="1"/>
  <c r="EA60"/>
  <c r="EA69"/>
  <c r="EY69"/>
  <c r="EY74"/>
  <c r="EA74"/>
  <c r="EA73"/>
  <c r="EY73"/>
  <c r="EY72"/>
  <c r="EA72"/>
  <c r="EA77"/>
  <c r="EY77"/>
  <c r="EY78"/>
  <c r="EA78"/>
  <c r="EY84"/>
  <c r="EA84"/>
  <c r="EA63"/>
  <c r="EY63"/>
  <c r="EA61"/>
  <c r="EY61"/>
  <c r="EA65"/>
  <c r="EY65"/>
  <c r="EY68"/>
  <c r="EA68"/>
  <c r="EY70"/>
  <c r="EA70"/>
  <c r="EY76"/>
  <c r="EA76"/>
  <c r="EA79"/>
  <c r="EY79"/>
  <c r="EY82"/>
  <c r="EA82"/>
  <c r="EA83"/>
  <c r="EY83"/>
  <c r="EY62"/>
  <c r="EA62"/>
  <c r="EY64"/>
  <c r="EA64"/>
  <c r="EA71"/>
  <c r="EY71"/>
  <c r="EY67"/>
  <c r="EA67"/>
  <c r="EA75"/>
  <c r="EY75"/>
  <c r="H57"/>
  <c r="I57" s="1"/>
  <c r="AK57" s="1"/>
  <c r="AO58"/>
  <c r="AP58"/>
  <c r="AL58"/>
  <c r="I58"/>
  <c r="AK58" s="1"/>
  <c r="AN40"/>
  <c r="DC40" s="1"/>
  <c r="AN41"/>
  <c r="DC41" s="1"/>
  <c r="AN42"/>
  <c r="DC42" s="1"/>
  <c r="AN43"/>
  <c r="DC43" s="1"/>
  <c r="AN45"/>
  <c r="DC45" s="1"/>
  <c r="AN46"/>
  <c r="DC46" s="1"/>
  <c r="AN47"/>
  <c r="DC47" s="1"/>
  <c r="AN48"/>
  <c r="DC48" s="1"/>
  <c r="AN49"/>
  <c r="DC49" s="1"/>
  <c r="AN50"/>
  <c r="DC50" s="1"/>
  <c r="AN51"/>
  <c r="DC51" s="1"/>
  <c r="AN52"/>
  <c r="DC52" s="1"/>
  <c r="AK31"/>
  <c r="AP28"/>
  <c r="AO28"/>
  <c r="AL28"/>
  <c r="AK28" s="1"/>
  <c r="AP21"/>
  <c r="AO21"/>
  <c r="AM21"/>
  <c r="AL21"/>
  <c r="AK21"/>
  <c r="AJ21"/>
  <c r="AI21"/>
  <c r="AH21"/>
  <c r="AO26"/>
  <c r="AP26"/>
  <c r="AP25"/>
  <c r="AP16"/>
  <c r="AO16"/>
  <c r="AO25"/>
  <c r="AJ25"/>
  <c r="AI25"/>
  <c r="AH25"/>
  <c r="AH23"/>
  <c r="AI23"/>
  <c r="AJ23"/>
  <c r="AK23" s="1"/>
  <c r="AN23" s="1"/>
  <c r="DC23" s="1"/>
  <c r="AO23"/>
  <c r="AP23"/>
  <c r="AN24"/>
  <c r="DC24" s="1"/>
  <c r="AO19"/>
  <c r="AP19"/>
  <c r="AI19"/>
  <c r="AJ19"/>
  <c r="AK19" s="1"/>
  <c r="AH19"/>
  <c r="AP44"/>
  <c r="AO44"/>
  <c r="AK44"/>
  <c r="AN44" s="1"/>
  <c r="DC44" s="1"/>
  <c r="AJ44"/>
  <c r="AI44"/>
  <c r="AH35"/>
  <c r="AI35"/>
  <c r="AJ35"/>
  <c r="AK35"/>
  <c r="AN35" s="1"/>
  <c r="DC35" s="1"/>
  <c r="AL35"/>
  <c r="AM35"/>
  <c r="AO35"/>
  <c r="AP35"/>
  <c r="AH36"/>
  <c r="AI36"/>
  <c r="AJ36"/>
  <c r="AK36"/>
  <c r="AN36" s="1"/>
  <c r="DC36" s="1"/>
  <c r="AL36"/>
  <c r="AM36"/>
  <c r="AO36"/>
  <c r="AP36"/>
  <c r="AH37"/>
  <c r="AI37"/>
  <c r="AJ37"/>
  <c r="AK37"/>
  <c r="AN37" s="1"/>
  <c r="DC37" s="1"/>
  <c r="AL37"/>
  <c r="AM37"/>
  <c r="AO37"/>
  <c r="AP37"/>
  <c r="AH38"/>
  <c r="AI38"/>
  <c r="AJ38"/>
  <c r="AK38"/>
  <c r="AN38" s="1"/>
  <c r="DC38" s="1"/>
  <c r="AL38"/>
  <c r="AM38"/>
  <c r="AO38"/>
  <c r="AP38"/>
  <c r="AH39"/>
  <c r="AI39"/>
  <c r="AJ39"/>
  <c r="AK39"/>
  <c r="AN39" s="1"/>
  <c r="DC39" s="1"/>
  <c r="AL39"/>
  <c r="AM39"/>
  <c r="AO39"/>
  <c r="AP39"/>
  <c r="AP34"/>
  <c r="AO34"/>
  <c r="AM34"/>
  <c r="AL34"/>
  <c r="AK34"/>
  <c r="AN34" s="1"/>
  <c r="DC34" s="1"/>
  <c r="AJ34"/>
  <c r="AI34"/>
  <c r="AH34"/>
  <c r="AP30"/>
  <c r="AO30"/>
  <c r="AM30"/>
  <c r="AL30"/>
  <c r="AK30"/>
  <c r="AN30" s="1"/>
  <c r="DC30" s="1"/>
  <c r="AJ30"/>
  <c r="AI30"/>
  <c r="AH30"/>
  <c r="AP29"/>
  <c r="AO29"/>
  <c r="AM29"/>
  <c r="AL29"/>
  <c r="AK29"/>
  <c r="AN29" s="1"/>
  <c r="DC29" s="1"/>
  <c r="AJ29"/>
  <c r="AI29"/>
  <c r="AH29"/>
  <c r="AP27"/>
  <c r="AO27"/>
  <c r="AM27"/>
  <c r="AL27"/>
  <c r="AK27"/>
  <c r="AJ27"/>
  <c r="AI27"/>
  <c r="AH27"/>
  <c r="AP22"/>
  <c r="AO22"/>
  <c r="AM22"/>
  <c r="AL22"/>
  <c r="AK22"/>
  <c r="AN22" s="1"/>
  <c r="DC22" s="1"/>
  <c r="AJ22"/>
  <c r="AI22"/>
  <c r="AH22"/>
  <c r="AP17"/>
  <c r="AO17"/>
  <c r="AM17"/>
  <c r="AL17"/>
  <c r="AK17"/>
  <c r="AN17" s="1"/>
  <c r="DC17" s="1"/>
  <c r="AJ17"/>
  <c r="AI17"/>
  <c r="AH17"/>
  <c r="AP15"/>
  <c r="AO15"/>
  <c r="AM15"/>
  <c r="AL15"/>
  <c r="AK15"/>
  <c r="AJ15"/>
  <c r="AI15"/>
  <c r="AH15"/>
  <c r="AP14"/>
  <c r="AO14"/>
  <c r="AM14"/>
  <c r="AL14"/>
  <c r="AK14"/>
  <c r="AN14" s="1"/>
  <c r="DC14" s="1"/>
  <c r="AJ14"/>
  <c r="AI14"/>
  <c r="AH14"/>
  <c r="AO11"/>
  <c r="AP11"/>
  <c r="AO12"/>
  <c r="AP12"/>
  <c r="AH11"/>
  <c r="AI11"/>
  <c r="AJ11"/>
  <c r="AK11"/>
  <c r="AL11"/>
  <c r="AM11"/>
  <c r="AH12"/>
  <c r="AI12"/>
  <c r="AJ12"/>
  <c r="AK12"/>
  <c r="AL12"/>
  <c r="AM12"/>
  <c r="AH9"/>
  <c r="AI9"/>
  <c r="AJ9"/>
  <c r="AK9" s="1"/>
  <c r="AH10"/>
  <c r="AI10"/>
  <c r="AJ10"/>
  <c r="AK10" s="1"/>
  <c r="AP8"/>
  <c r="AO8"/>
  <c r="AO7"/>
  <c r="AP7"/>
  <c r="AO9"/>
  <c r="AP9"/>
  <c r="AO10"/>
  <c r="AP10"/>
  <c r="AN9"/>
  <c r="DC9" s="1"/>
  <c r="AN10"/>
  <c r="DC10" s="1"/>
  <c r="AK7"/>
  <c r="AP13"/>
  <c r="AO13"/>
  <c r="AK13"/>
  <c r="AI8"/>
  <c r="AJ8"/>
  <c r="AP6"/>
  <c r="AO6"/>
  <c r="AJ6"/>
  <c r="AN6" s="1"/>
  <c r="DC6" s="1"/>
  <c r="AO32"/>
  <c r="AJ32"/>
  <c r="AK32"/>
  <c r="AO33"/>
  <c r="AP33"/>
  <c r="AH33"/>
  <c r="AI33"/>
  <c r="AJ33"/>
  <c r="AK33"/>
  <c r="AL33"/>
  <c r="AM33"/>
  <c r="AJ26"/>
  <c r="R26"/>
  <c r="AK26" s="1"/>
  <c r="R25"/>
  <c r="AK25" s="1"/>
  <c r="AN25" s="1"/>
  <c r="DC25" s="1"/>
  <c r="AP20"/>
  <c r="AO20"/>
  <c r="I20"/>
  <c r="AK20" s="1"/>
  <c r="AN7" l="1"/>
  <c r="DC7" s="1"/>
  <c r="AN15"/>
  <c r="DC15" s="1"/>
  <c r="AN27"/>
  <c r="DC27" s="1"/>
  <c r="AN21"/>
  <c r="DC21" s="1"/>
  <c r="AK87"/>
  <c r="AK8"/>
  <c r="AN28"/>
  <c r="DC28" s="1"/>
  <c r="EY25"/>
  <c r="EA25"/>
  <c r="EA6"/>
  <c r="EY6"/>
  <c r="EA7"/>
  <c r="EY7"/>
  <c r="EA9"/>
  <c r="EY9"/>
  <c r="EY14"/>
  <c r="EA14"/>
  <c r="EA15"/>
  <c r="EY15"/>
  <c r="EA17"/>
  <c r="EY17"/>
  <c r="EY22"/>
  <c r="EA22"/>
  <c r="EY27"/>
  <c r="EA27"/>
  <c r="EY29"/>
  <c r="EA29"/>
  <c r="EA30"/>
  <c r="EY30"/>
  <c r="EA34"/>
  <c r="EY34"/>
  <c r="EA23"/>
  <c r="EY23"/>
  <c r="EA28"/>
  <c r="EY28"/>
  <c r="EA52"/>
  <c r="EY52"/>
  <c r="EA50"/>
  <c r="EY50"/>
  <c r="EA48"/>
  <c r="EY48"/>
  <c r="EA46"/>
  <c r="EY46"/>
  <c r="EY43"/>
  <c r="EA43"/>
  <c r="EY41"/>
  <c r="EA41"/>
  <c r="EY10"/>
  <c r="EA10"/>
  <c r="EY39"/>
  <c r="EA39"/>
  <c r="EA38"/>
  <c r="EY38"/>
  <c r="EY37"/>
  <c r="EA37"/>
  <c r="EA36"/>
  <c r="EY36"/>
  <c r="EY35"/>
  <c r="EA35"/>
  <c r="EA44"/>
  <c r="EY44"/>
  <c r="EA21"/>
  <c r="EY21"/>
  <c r="EY51"/>
  <c r="EA51"/>
  <c r="EY49"/>
  <c r="EA49"/>
  <c r="EY47"/>
  <c r="EA47"/>
  <c r="EY45"/>
  <c r="EA45"/>
  <c r="EA42"/>
  <c r="EY42"/>
  <c r="EA40"/>
  <c r="EY40"/>
  <c r="EY24"/>
  <c r="EA24"/>
  <c r="AJ57"/>
  <c r="AH80"/>
  <c r="AI80"/>
  <c r="AJ80"/>
  <c r="AK80"/>
  <c r="AN80" s="1"/>
  <c r="DC80" s="1"/>
  <c r="AL80"/>
  <c r="AM80"/>
  <c r="AO80"/>
  <c r="AP80"/>
  <c r="AO81"/>
  <c r="AP81"/>
  <c r="AI81"/>
  <c r="AJ81"/>
  <c r="AK81"/>
  <c r="AL81"/>
  <c r="AM81"/>
  <c r="AH81"/>
  <c r="AN8" l="1"/>
  <c r="DC8" s="1"/>
  <c r="EY80"/>
  <c r="EA80"/>
  <c r="S18"/>
  <c r="Q16"/>
  <c r="Q17" s="1"/>
  <c r="S16"/>
  <c r="R16"/>
  <c r="J18"/>
  <c r="AK18" s="1"/>
  <c r="EY8" l="1"/>
  <c r="EA8"/>
  <c r="R17"/>
  <c r="AK16"/>
  <c r="S17"/>
  <c r="AN66"/>
  <c r="P56" i="2"/>
  <c r="Q56"/>
  <c r="P33"/>
  <c r="Q33"/>
  <c r="DF66" i="1" l="1"/>
  <c r="DC66"/>
  <c r="Q26" i="2"/>
  <c r="P26"/>
  <c r="P16"/>
  <c r="Q16"/>
  <c r="AN11" i="1"/>
  <c r="DC11" s="1"/>
  <c r="AN12"/>
  <c r="DC12" s="1"/>
  <c r="AN13"/>
  <c r="DC13" s="1"/>
  <c r="AN16"/>
  <c r="DC16" s="1"/>
  <c r="AN18"/>
  <c r="DC18" s="1"/>
  <c r="AN19"/>
  <c r="DC19" s="1"/>
  <c r="AN20"/>
  <c r="DC20" s="1"/>
  <c r="AN26"/>
  <c r="DC26" s="1"/>
  <c r="AN31"/>
  <c r="DC31" s="1"/>
  <c r="AN32"/>
  <c r="DC32" s="1"/>
  <c r="AN33"/>
  <c r="DC33" s="1"/>
  <c r="AN53"/>
  <c r="DC53" s="1"/>
  <c r="AN54"/>
  <c r="DC54" s="1"/>
  <c r="AN55"/>
  <c r="DC55" s="1"/>
  <c r="AN56"/>
  <c r="DC56" s="1"/>
  <c r="AN57"/>
  <c r="DC57" s="1"/>
  <c r="AN58"/>
  <c r="DC58" s="1"/>
  <c r="AN59"/>
  <c r="DC59" s="1"/>
  <c r="AN81"/>
  <c r="DC81" s="1"/>
  <c r="EA59" l="1"/>
  <c r="EY59"/>
  <c r="EA57"/>
  <c r="EY57"/>
  <c r="EY55"/>
  <c r="EA55"/>
  <c r="EY53"/>
  <c r="EA53"/>
  <c r="EA32"/>
  <c r="EY32"/>
  <c r="EA26"/>
  <c r="EY26"/>
  <c r="EA19"/>
  <c r="EY19"/>
  <c r="EY16"/>
  <c r="EA16"/>
  <c r="EY12"/>
  <c r="EA12"/>
  <c r="EA81"/>
  <c r="EY81"/>
  <c r="EY58"/>
  <c r="EA58"/>
  <c r="EY56"/>
  <c r="EA56"/>
  <c r="EA54"/>
  <c r="EY54"/>
  <c r="EY33"/>
  <c r="EA33"/>
  <c r="EY31"/>
  <c r="EA31"/>
  <c r="EY20"/>
  <c r="EA20"/>
  <c r="EY18"/>
  <c r="EA18"/>
  <c r="EA13"/>
  <c r="EY13"/>
  <c r="EA11"/>
  <c r="EY11"/>
  <c r="DC89"/>
  <c r="EA66"/>
  <c r="EY66"/>
  <c r="DN58"/>
  <c r="DL58"/>
  <c r="DJ58"/>
  <c r="DH58"/>
  <c r="DF58"/>
  <c r="DD58"/>
  <c r="DA58"/>
  <c r="CY58"/>
  <c r="CW58"/>
  <c r="CU58"/>
  <c r="CS58"/>
  <c r="DO58"/>
  <c r="DM58"/>
  <c r="DK58"/>
  <c r="DI58"/>
  <c r="DG58"/>
  <c r="DB58"/>
  <c r="CZ58"/>
  <c r="CX58"/>
  <c r="CV58"/>
  <c r="CT58"/>
  <c r="DN28"/>
  <c r="DL28"/>
  <c r="DJ28"/>
  <c r="DH28"/>
  <c r="DF28"/>
  <c r="DD28"/>
  <c r="DA28"/>
  <c r="CY28"/>
  <c r="CW28"/>
  <c r="CU28"/>
  <c r="CS28"/>
  <c r="DO28"/>
  <c r="DM28"/>
  <c r="DK28"/>
  <c r="DI28"/>
  <c r="DG28"/>
  <c r="DB28"/>
  <c r="CZ28"/>
  <c r="CX28"/>
  <c r="CV28"/>
  <c r="CT28"/>
  <c r="DN22"/>
  <c r="DL22"/>
  <c r="DJ22"/>
  <c r="DH22"/>
  <c r="DF22"/>
  <c r="DD22"/>
  <c r="DA22"/>
  <c r="CY22"/>
  <c r="CW22"/>
  <c r="CU22"/>
  <c r="CS22"/>
  <c r="DO22"/>
  <c r="DM22"/>
  <c r="DK22"/>
  <c r="DI22"/>
  <c r="DG22"/>
  <c r="DB22"/>
  <c r="CZ22"/>
  <c r="CX22"/>
  <c r="CV22"/>
  <c r="CT22"/>
  <c r="CT18"/>
  <c r="CV18"/>
  <c r="CX18"/>
  <c r="CZ18"/>
  <c r="DB18"/>
  <c r="DG18"/>
  <c r="DI18"/>
  <c r="DK18"/>
  <c r="DM18"/>
  <c r="DO18"/>
  <c r="CS18"/>
  <c r="CU18"/>
  <c r="CW18"/>
  <c r="CY18"/>
  <c r="DA18"/>
  <c r="DD18"/>
  <c r="DF18"/>
  <c r="DH18"/>
  <c r="DJ18"/>
  <c r="DL18"/>
  <c r="DN18"/>
  <c r="DN35"/>
  <c r="DL35"/>
  <c r="DJ35"/>
  <c r="DH35"/>
  <c r="DF35"/>
  <c r="DD35"/>
  <c r="DA35"/>
  <c r="CY35"/>
  <c r="CW35"/>
  <c r="CU35"/>
  <c r="CS35"/>
  <c r="DO35"/>
  <c r="DM35"/>
  <c r="DK35"/>
  <c r="DI35"/>
  <c r="DG35"/>
  <c r="DB35"/>
  <c r="CZ35"/>
  <c r="CX35"/>
  <c r="CV35"/>
  <c r="CT35"/>
  <c r="CT13"/>
  <c r="CV13"/>
  <c r="CX13"/>
  <c r="CZ13"/>
  <c r="DB13"/>
  <c r="DG13"/>
  <c r="DI13"/>
  <c r="DK13"/>
  <c r="DM13"/>
  <c r="DO13"/>
  <c r="CS13"/>
  <c r="CU13"/>
  <c r="CW13"/>
  <c r="CY13"/>
  <c r="DA13"/>
  <c r="DD13"/>
  <c r="DF13"/>
  <c r="DH13"/>
  <c r="DJ13"/>
  <c r="DL13"/>
  <c r="DN13"/>
  <c r="DF81"/>
  <c r="DH81"/>
  <c r="EA89" l="1"/>
  <c r="EY89"/>
  <c r="ER28"/>
  <c r="DT28"/>
  <c r="EV28"/>
  <c r="DX28"/>
  <c r="FC28"/>
  <c r="EE28"/>
  <c r="FG28"/>
  <c r="EI28"/>
  <c r="FK28"/>
  <c r="EM28"/>
  <c r="EQ28"/>
  <c r="DS28"/>
  <c r="EU28"/>
  <c r="DW28"/>
  <c r="EZ28"/>
  <c r="EB28"/>
  <c r="FB28"/>
  <c r="ED28"/>
  <c r="FF28"/>
  <c r="EH28"/>
  <c r="FJ28"/>
  <c r="EL28"/>
  <c r="ER58"/>
  <c r="DT58"/>
  <c r="EV58"/>
  <c r="DX58"/>
  <c r="FC58"/>
  <c r="EE58"/>
  <c r="FG58"/>
  <c r="EI58"/>
  <c r="FK58"/>
  <c r="EM58"/>
  <c r="EQ58"/>
  <c r="DS58"/>
  <c r="EU58"/>
  <c r="DW58"/>
  <c r="EZ58"/>
  <c r="EB58"/>
  <c r="FB58"/>
  <c r="ED58"/>
  <c r="FF58"/>
  <c r="EH58"/>
  <c r="FJ58"/>
  <c r="EL58"/>
  <c r="EP28"/>
  <c r="DR28"/>
  <c r="ET28"/>
  <c r="DV28"/>
  <c r="EX28"/>
  <c r="DZ28"/>
  <c r="FE28"/>
  <c r="EG28"/>
  <c r="FI28"/>
  <c r="EK28"/>
  <c r="EO28"/>
  <c r="DQ28"/>
  <c r="ES28"/>
  <c r="DU28"/>
  <c r="EW28"/>
  <c r="DY28"/>
  <c r="FD28"/>
  <c r="EF28"/>
  <c r="FH28"/>
  <c r="EJ28"/>
  <c r="EP58"/>
  <c r="DR58"/>
  <c r="ET58"/>
  <c r="DV58"/>
  <c r="EX58"/>
  <c r="DZ58"/>
  <c r="FE58"/>
  <c r="EG58"/>
  <c r="FI58"/>
  <c r="EK58"/>
  <c r="EO58"/>
  <c r="DQ58"/>
  <c r="ES58"/>
  <c r="DU58"/>
  <c r="EW58"/>
  <c r="DY58"/>
  <c r="FD58"/>
  <c r="EF58"/>
  <c r="FH58"/>
  <c r="EJ58"/>
  <c r="D5" i="2"/>
  <c r="D6" s="1"/>
  <c r="D7" s="1"/>
  <c r="D8" s="1"/>
  <c r="D9" s="1"/>
  <c r="D10" s="1"/>
  <c r="D11" s="1"/>
  <c r="D12" s="1"/>
  <c r="D13" s="1"/>
  <c r="D14" s="1"/>
  <c r="D15" s="1"/>
  <c r="D16" s="1"/>
  <c r="D17" s="1"/>
  <c r="D18" s="1"/>
  <c r="D19" s="1"/>
  <c r="D20" s="1"/>
  <c r="D21" s="1"/>
  <c r="D22" s="1"/>
  <c r="D23" s="1"/>
  <c r="D24" s="1"/>
  <c r="D25" s="1"/>
  <c r="D26" s="1"/>
  <c r="D27" s="1"/>
  <c r="D28" s="1"/>
  <c r="D29" s="1"/>
  <c r="D30" s="1"/>
  <c r="D31" s="1"/>
  <c r="D32" s="1"/>
  <c r="D33" s="1"/>
  <c r="D34" s="1"/>
  <c r="D35" s="1"/>
  <c r="D36" s="1"/>
  <c r="D37" s="1"/>
  <c r="D38" s="1"/>
  <c r="D39" s="1"/>
  <c r="D40" s="1"/>
  <c r="D41" s="1"/>
  <c r="D42" s="1"/>
  <c r="D43" s="1"/>
  <c r="D44" s="1"/>
  <c r="D45" s="1"/>
  <c r="D46" s="1"/>
  <c r="D47" s="1"/>
  <c r="D48" s="1"/>
  <c r="D49" s="1"/>
  <c r="D50" s="1"/>
  <c r="D51" s="1"/>
  <c r="D52" s="1"/>
  <c r="D53" s="1"/>
  <c r="D54" s="1"/>
  <c r="D55" s="1"/>
  <c r="D56" s="1"/>
  <c r="D57" s="1"/>
  <c r="D58" s="1"/>
  <c r="D59" s="1"/>
  <c r="D60" s="1"/>
  <c r="D61" s="1"/>
  <c r="D62" s="1"/>
  <c r="D63" s="1"/>
  <c r="D64" s="1"/>
  <c r="D65" s="1"/>
  <c r="D66" s="1"/>
  <c r="D67" s="1"/>
  <c r="D68" s="1"/>
  <c r="D69" s="1"/>
  <c r="D70" s="1"/>
  <c r="D71" s="1"/>
  <c r="D72" s="1"/>
  <c r="D73" s="1"/>
  <c r="D74" s="1"/>
  <c r="D75" s="1"/>
  <c r="D76" s="1"/>
  <c r="D77" s="1"/>
  <c r="D78" s="1"/>
  <c r="D79" s="1"/>
  <c r="D80" s="1"/>
  <c r="D81" s="1"/>
  <c r="D82" s="1"/>
  <c r="FC13" i="1"/>
  <c r="FD13"/>
  <c r="FE13"/>
  <c r="FF13"/>
  <c r="FG13"/>
  <c r="FH13"/>
  <c r="FI13"/>
  <c r="FJ13"/>
  <c r="FK13"/>
  <c r="FC18"/>
  <c r="FD18"/>
  <c r="FE18"/>
  <c r="FF18"/>
  <c r="FG18"/>
  <c r="FH18"/>
  <c r="FI18"/>
  <c r="FJ18"/>
  <c r="FK18"/>
  <c r="FC22"/>
  <c r="FD22"/>
  <c r="FE22"/>
  <c r="FF22"/>
  <c r="FG22"/>
  <c r="FH22"/>
  <c r="FI22"/>
  <c r="FJ22"/>
  <c r="FK22"/>
  <c r="FC35"/>
  <c r="FD35"/>
  <c r="FE35"/>
  <c r="FF35"/>
  <c r="FG35"/>
  <c r="FH35"/>
  <c r="FI35"/>
  <c r="FJ35"/>
  <c r="FK35"/>
  <c r="FB13"/>
  <c r="FB18"/>
  <c r="FB22"/>
  <c r="FB35"/>
  <c r="EP13"/>
  <c r="EQ13"/>
  <c r="ER13"/>
  <c r="ES13"/>
  <c r="ET13"/>
  <c r="EU13"/>
  <c r="EV13"/>
  <c r="EW13"/>
  <c r="EX13"/>
  <c r="EZ13"/>
  <c r="EP18"/>
  <c r="EQ18"/>
  <c r="ER18"/>
  <c r="ES18"/>
  <c r="ET18"/>
  <c r="EU18"/>
  <c r="EV18"/>
  <c r="EW18"/>
  <c r="EX18"/>
  <c r="EZ18"/>
  <c r="EP22"/>
  <c r="EQ22"/>
  <c r="ER22"/>
  <c r="ES22"/>
  <c r="ET22"/>
  <c r="EU22"/>
  <c r="EV22"/>
  <c r="EW22"/>
  <c r="EX22"/>
  <c r="EZ22"/>
  <c r="EP35"/>
  <c r="EQ35"/>
  <c r="ER35"/>
  <c r="ES35"/>
  <c r="ET35"/>
  <c r="EU35"/>
  <c r="EV35"/>
  <c r="EW35"/>
  <c r="EX35"/>
  <c r="EZ35"/>
  <c r="EO13"/>
  <c r="EO18"/>
  <c r="EO22"/>
  <c r="EO35"/>
  <c r="EE13"/>
  <c r="EF13"/>
  <c r="EG13"/>
  <c r="EH13"/>
  <c r="EI13"/>
  <c r="EJ13"/>
  <c r="EK13"/>
  <c r="EL13"/>
  <c r="EM13"/>
  <c r="EE18"/>
  <c r="EF18"/>
  <c r="EG18"/>
  <c r="EH18"/>
  <c r="EI18"/>
  <c r="EJ18"/>
  <c r="EK18"/>
  <c r="EL18"/>
  <c r="EM18"/>
  <c r="EE22"/>
  <c r="EF22"/>
  <c r="EG22"/>
  <c r="EH22"/>
  <c r="EI22"/>
  <c r="EJ22"/>
  <c r="EK22"/>
  <c r="EL22"/>
  <c r="EM22"/>
  <c r="EE35"/>
  <c r="EF35"/>
  <c r="EG35"/>
  <c r="EH35"/>
  <c r="EI35"/>
  <c r="EJ35"/>
  <c r="EK35"/>
  <c r="EL35"/>
  <c r="EM35"/>
  <c r="ED13"/>
  <c r="ED18"/>
  <c r="ED22"/>
  <c r="ED35"/>
  <c r="DR13"/>
  <c r="DS13"/>
  <c r="DT13"/>
  <c r="DU13"/>
  <c r="DV13"/>
  <c r="DW13"/>
  <c r="DX13"/>
  <c r="DY13"/>
  <c r="DZ13"/>
  <c r="EB13"/>
  <c r="DR18"/>
  <c r="DS18"/>
  <c r="DT18"/>
  <c r="DU18"/>
  <c r="DV18"/>
  <c r="DW18"/>
  <c r="DX18"/>
  <c r="DY18"/>
  <c r="DZ18"/>
  <c r="EB18"/>
  <c r="DR22"/>
  <c r="DS22"/>
  <c r="DT22"/>
  <c r="DU22"/>
  <c r="DV22"/>
  <c r="DW22"/>
  <c r="DX22"/>
  <c r="DY22"/>
  <c r="DZ22"/>
  <c r="EB22"/>
  <c r="DR35"/>
  <c r="DS35"/>
  <c r="DT35"/>
  <c r="DU35"/>
  <c r="DV35"/>
  <c r="DW35"/>
  <c r="DX35"/>
  <c r="DY35"/>
  <c r="DZ35"/>
  <c r="EB35"/>
  <c r="DQ13"/>
  <c r="DQ18"/>
  <c r="DQ22"/>
  <c r="DQ35"/>
  <c r="D7" l="1"/>
  <c r="D8" s="1"/>
  <c r="D9" s="1"/>
  <c r="D10" s="1"/>
  <c r="D11" s="1"/>
  <c r="D12" s="1"/>
  <c r="D13" s="1"/>
  <c r="D14" s="1"/>
  <c r="D15" s="1"/>
  <c r="D16" s="1"/>
  <c r="D17" s="1"/>
  <c r="D18" s="1"/>
  <c r="D19" s="1"/>
  <c r="D20" s="1"/>
  <c r="D21" s="1"/>
  <c r="D22" s="1"/>
  <c r="D23" s="1"/>
  <c r="D24" s="1"/>
  <c r="D25" s="1"/>
  <c r="D26" s="1"/>
  <c r="D27" s="1"/>
  <c r="D28" s="1"/>
  <c r="D29" s="1"/>
  <c r="D30" s="1"/>
  <c r="D31" s="1"/>
  <c r="D32" s="1"/>
  <c r="D33" s="1"/>
  <c r="D34" s="1"/>
  <c r="D35" s="1"/>
  <c r="D36" s="1"/>
  <c r="D37" s="1"/>
  <c r="D38" s="1"/>
  <c r="D39" s="1"/>
  <c r="D40" s="1"/>
  <c r="D41" s="1"/>
  <c r="D42" s="1"/>
  <c r="D43" s="1"/>
  <c r="D44" s="1"/>
  <c r="D45" s="1"/>
  <c r="D46" s="1"/>
  <c r="D47" s="1"/>
  <c r="D48" s="1"/>
  <c r="D49" s="1"/>
  <c r="D50" s="1"/>
  <c r="D51" s="1"/>
  <c r="D52" s="1"/>
  <c r="D53" s="1"/>
  <c r="D54" s="1"/>
  <c r="D55" s="1"/>
  <c r="D56" s="1"/>
  <c r="D57" s="1"/>
  <c r="D58" s="1"/>
  <c r="D59" s="1"/>
  <c r="D60" s="1"/>
  <c r="D61" s="1"/>
  <c r="D62" s="1"/>
  <c r="D63" s="1"/>
  <c r="D64" s="1"/>
  <c r="D65" s="1"/>
  <c r="D66" s="1"/>
  <c r="D67" s="1"/>
  <c r="D68" s="1"/>
  <c r="D69" s="1"/>
  <c r="D70" s="1"/>
  <c r="D71" s="1"/>
  <c r="D72" s="1"/>
  <c r="D73" s="1"/>
  <c r="D74" s="1"/>
  <c r="D75" s="1"/>
  <c r="D76" s="1"/>
  <c r="D77" s="1"/>
  <c r="D78" s="1"/>
  <c r="D79" s="1"/>
  <c r="D80" s="1"/>
  <c r="D81" s="1"/>
  <c r="D82" s="1"/>
  <c r="D83" s="1"/>
  <c r="D84" s="1"/>
  <c r="Q5" i="2"/>
  <c r="Q6"/>
  <c r="Q7"/>
  <c r="Q8"/>
  <c r="Q9"/>
  <c r="Q10"/>
  <c r="Q11"/>
  <c r="Q13"/>
  <c r="Q14"/>
  <c r="Q15"/>
  <c r="Q17"/>
  <c r="Q18"/>
  <c r="Q19"/>
  <c r="Q21"/>
  <c r="Q22"/>
  <c r="Q23"/>
  <c r="Q24"/>
  <c r="Q25"/>
  <c r="Q27"/>
  <c r="Q28"/>
  <c r="Q29"/>
  <c r="Q30"/>
  <c r="Q31"/>
  <c r="Q32"/>
  <c r="Q34"/>
  <c r="Q35"/>
  <c r="Q36"/>
  <c r="Q37"/>
  <c r="Q38"/>
  <c r="Q39"/>
  <c r="Q40"/>
  <c r="Q41"/>
  <c r="Q42"/>
  <c r="Q43"/>
  <c r="Q44"/>
  <c r="Q45"/>
  <c r="Q46"/>
  <c r="Q47"/>
  <c r="Q48"/>
  <c r="Q49"/>
  <c r="Q50"/>
  <c r="Q51"/>
  <c r="Q52"/>
  <c r="Q53"/>
  <c r="Q54"/>
  <c r="Q55"/>
  <c r="Q57"/>
  <c r="Q58"/>
  <c r="Q59"/>
  <c r="Q60"/>
  <c r="Q61"/>
  <c r="Q62"/>
  <c r="Q63"/>
  <c r="Q64"/>
  <c r="Q65"/>
  <c r="Q66"/>
  <c r="Q67"/>
  <c r="Q69"/>
  <c r="Q70"/>
  <c r="Q71"/>
  <c r="Q72"/>
  <c r="Q73"/>
  <c r="Q74"/>
  <c r="Q75"/>
  <c r="Q76"/>
  <c r="Q77"/>
  <c r="Q78"/>
  <c r="Q79"/>
  <c r="Q80"/>
  <c r="Q81"/>
  <c r="Q82"/>
  <c r="Q12"/>
  <c r="Q20"/>
  <c r="Q4"/>
  <c r="P5"/>
  <c r="P6"/>
  <c r="P7"/>
  <c r="P8"/>
  <c r="P9"/>
  <c r="P10"/>
  <c r="P11"/>
  <c r="P13"/>
  <c r="P14"/>
  <c r="P15"/>
  <c r="P17"/>
  <c r="P18"/>
  <c r="P19"/>
  <c r="P21"/>
  <c r="P22"/>
  <c r="P23"/>
  <c r="P24"/>
  <c r="P25"/>
  <c r="P27"/>
  <c r="P28"/>
  <c r="P29"/>
  <c r="P30"/>
  <c r="P31"/>
  <c r="P32"/>
  <c r="P34"/>
  <c r="P35"/>
  <c r="P36"/>
  <c r="P37"/>
  <c r="P38"/>
  <c r="P39"/>
  <c r="P40"/>
  <c r="P41"/>
  <c r="P42"/>
  <c r="P43"/>
  <c r="P44"/>
  <c r="P45"/>
  <c r="P46"/>
  <c r="P47"/>
  <c r="P48"/>
  <c r="P49"/>
  <c r="P50"/>
  <c r="P51"/>
  <c r="P52"/>
  <c r="P53"/>
  <c r="P54"/>
  <c r="P55"/>
  <c r="P57"/>
  <c r="P58"/>
  <c r="P59"/>
  <c r="P60"/>
  <c r="P61"/>
  <c r="P62"/>
  <c r="P63"/>
  <c r="P64"/>
  <c r="P65"/>
  <c r="P66"/>
  <c r="P67"/>
  <c r="P69"/>
  <c r="P70"/>
  <c r="P71"/>
  <c r="P72"/>
  <c r="P73"/>
  <c r="P74"/>
  <c r="P75"/>
  <c r="P76"/>
  <c r="P77"/>
  <c r="P78"/>
  <c r="P79"/>
  <c r="P80"/>
  <c r="P81"/>
  <c r="P82"/>
  <c r="P12"/>
  <c r="P20"/>
  <c r="P4"/>
  <c r="DM36" i="1"/>
  <c r="DF7"/>
  <c r="DG7"/>
  <c r="DH7"/>
  <c r="DI7"/>
  <c r="DJ7"/>
  <c r="DK7"/>
  <c r="DL7"/>
  <c r="DM7"/>
  <c r="DN7"/>
  <c r="DO7"/>
  <c r="DF8"/>
  <c r="DG8"/>
  <c r="DH8"/>
  <c r="DI8"/>
  <c r="DJ8"/>
  <c r="DK8"/>
  <c r="DL8"/>
  <c r="DM8"/>
  <c r="DN8"/>
  <c r="DO8"/>
  <c r="DF9"/>
  <c r="DG9"/>
  <c r="DH9"/>
  <c r="DI9"/>
  <c r="DJ9"/>
  <c r="DK9"/>
  <c r="DL9"/>
  <c r="DM9"/>
  <c r="DN9"/>
  <c r="DO9"/>
  <c r="DF10"/>
  <c r="DG10"/>
  <c r="DH10"/>
  <c r="DI10"/>
  <c r="DJ10"/>
  <c r="DK10"/>
  <c r="DL10"/>
  <c r="DM10"/>
  <c r="DN10"/>
  <c r="DO10"/>
  <c r="DF11"/>
  <c r="DG11"/>
  <c r="DH11"/>
  <c r="DI11"/>
  <c r="DJ11"/>
  <c r="DK11"/>
  <c r="DL11"/>
  <c r="DM11"/>
  <c r="DN11"/>
  <c r="DO11"/>
  <c r="DF12"/>
  <c r="DG12"/>
  <c r="DH12"/>
  <c r="DI12"/>
  <c r="DJ12"/>
  <c r="DK12"/>
  <c r="DL12"/>
  <c r="DM12"/>
  <c r="DN12"/>
  <c r="DO12"/>
  <c r="DF14"/>
  <c r="DG14"/>
  <c r="DH14"/>
  <c r="DI14"/>
  <c r="DJ14"/>
  <c r="DK14"/>
  <c r="DL14"/>
  <c r="DM14"/>
  <c r="DN14"/>
  <c r="DO14"/>
  <c r="DF15"/>
  <c r="DG15"/>
  <c r="DH15"/>
  <c r="DI15"/>
  <c r="DJ15"/>
  <c r="DK15"/>
  <c r="DL15"/>
  <c r="DM15"/>
  <c r="DN15"/>
  <c r="DO15"/>
  <c r="DF16"/>
  <c r="DG16"/>
  <c r="DH16"/>
  <c r="DI16"/>
  <c r="DJ16"/>
  <c r="DK16"/>
  <c r="DL16"/>
  <c r="DM16"/>
  <c r="DN16"/>
  <c r="DO16"/>
  <c r="DF17"/>
  <c r="DG17"/>
  <c r="DH17"/>
  <c r="DI17"/>
  <c r="DJ17"/>
  <c r="DK17"/>
  <c r="DL17"/>
  <c r="DM17"/>
  <c r="DN17"/>
  <c r="DO17"/>
  <c r="DF19"/>
  <c r="DG19"/>
  <c r="DH19"/>
  <c r="DI19"/>
  <c r="DJ19"/>
  <c r="DK19"/>
  <c r="DL19"/>
  <c r="DM19"/>
  <c r="DN19"/>
  <c r="DO19"/>
  <c r="DF20"/>
  <c r="DG20"/>
  <c r="DH20"/>
  <c r="DI20"/>
  <c r="DJ20"/>
  <c r="DK20"/>
  <c r="DL20"/>
  <c r="DM20"/>
  <c r="DN20"/>
  <c r="DO20"/>
  <c r="DF21"/>
  <c r="DG21"/>
  <c r="DH21"/>
  <c r="DI21"/>
  <c r="DJ21"/>
  <c r="DK21"/>
  <c r="DL21"/>
  <c r="DM21"/>
  <c r="DN21"/>
  <c r="DO21"/>
  <c r="DF23"/>
  <c r="DG23"/>
  <c r="DH23"/>
  <c r="DI23"/>
  <c r="DJ23"/>
  <c r="DK23"/>
  <c r="DL23"/>
  <c r="DM23"/>
  <c r="DN23"/>
  <c r="DO23"/>
  <c r="DF24"/>
  <c r="DG24"/>
  <c r="DH24"/>
  <c r="DI24"/>
  <c r="DJ24"/>
  <c r="DK24"/>
  <c r="DL24"/>
  <c r="DM24"/>
  <c r="DN24"/>
  <c r="DO24"/>
  <c r="DF25"/>
  <c r="DG25"/>
  <c r="DH25"/>
  <c r="DI25"/>
  <c r="DJ25"/>
  <c r="DK25"/>
  <c r="DL25"/>
  <c r="DM25"/>
  <c r="DN25"/>
  <c r="DO25"/>
  <c r="DF26"/>
  <c r="DG26"/>
  <c r="DH26"/>
  <c r="DI26"/>
  <c r="DJ26"/>
  <c r="DK26"/>
  <c r="DL26"/>
  <c r="DM26"/>
  <c r="DN26"/>
  <c r="DO26"/>
  <c r="DF27"/>
  <c r="DG27"/>
  <c r="DH27"/>
  <c r="DI27"/>
  <c r="DJ27"/>
  <c r="DK27"/>
  <c r="DL27"/>
  <c r="DM27"/>
  <c r="DN27"/>
  <c r="DO27"/>
  <c r="DF29"/>
  <c r="DG29"/>
  <c r="DH29"/>
  <c r="DI29"/>
  <c r="DJ29"/>
  <c r="DK29"/>
  <c r="DL29"/>
  <c r="DM29"/>
  <c r="DN29"/>
  <c r="DO29"/>
  <c r="DF30"/>
  <c r="DG30"/>
  <c r="DH30"/>
  <c r="DI30"/>
  <c r="DJ30"/>
  <c r="DK30"/>
  <c r="DL30"/>
  <c r="DM30"/>
  <c r="DN30"/>
  <c r="DO30"/>
  <c r="DF31"/>
  <c r="DG31"/>
  <c r="DH31"/>
  <c r="DI31"/>
  <c r="DJ31"/>
  <c r="DK31"/>
  <c r="DL31"/>
  <c r="DM31"/>
  <c r="DN31"/>
  <c r="DO31"/>
  <c r="DF32"/>
  <c r="DG32"/>
  <c r="DH32"/>
  <c r="DI32"/>
  <c r="DJ32"/>
  <c r="DK32"/>
  <c r="DL32"/>
  <c r="DM32"/>
  <c r="DN32"/>
  <c r="DO32"/>
  <c r="DF33"/>
  <c r="DG33"/>
  <c r="DH33"/>
  <c r="DI33"/>
  <c r="DJ33"/>
  <c r="DK33"/>
  <c r="DL33"/>
  <c r="DM33"/>
  <c r="DN33"/>
  <c r="DO33"/>
  <c r="DF34"/>
  <c r="DG34"/>
  <c r="DH34"/>
  <c r="DI34"/>
  <c r="DJ34"/>
  <c r="DK34"/>
  <c r="DL34"/>
  <c r="DM34"/>
  <c r="DN34"/>
  <c r="DO34"/>
  <c r="DF36"/>
  <c r="DG36"/>
  <c r="DH36"/>
  <c r="DI36"/>
  <c r="DJ36"/>
  <c r="DK36"/>
  <c r="DL36"/>
  <c r="DN36"/>
  <c r="DO36"/>
  <c r="DF37"/>
  <c r="DG37"/>
  <c r="DH37"/>
  <c r="DI37"/>
  <c r="DJ37"/>
  <c r="DK37"/>
  <c r="DL37"/>
  <c r="DM37"/>
  <c r="DN37"/>
  <c r="DO37"/>
  <c r="DF38"/>
  <c r="DG38"/>
  <c r="DH38"/>
  <c r="DI38"/>
  <c r="DJ38"/>
  <c r="DK38"/>
  <c r="DL38"/>
  <c r="DM38"/>
  <c r="DN38"/>
  <c r="DO38"/>
  <c r="DF39"/>
  <c r="DG39"/>
  <c r="DH39"/>
  <c r="DI39"/>
  <c r="DJ39"/>
  <c r="DK39"/>
  <c r="DL39"/>
  <c r="DM39"/>
  <c r="DN39"/>
  <c r="DO39"/>
  <c r="DF40"/>
  <c r="DG40"/>
  <c r="DH40"/>
  <c r="DI40"/>
  <c r="DJ40"/>
  <c r="DK40"/>
  <c r="DL40"/>
  <c r="DM40"/>
  <c r="DN40"/>
  <c r="DO40"/>
  <c r="DF41"/>
  <c r="DG41"/>
  <c r="DH41"/>
  <c r="DI41"/>
  <c r="DJ41"/>
  <c r="DK41"/>
  <c r="DL41"/>
  <c r="DM41"/>
  <c r="DN41"/>
  <c r="DO41"/>
  <c r="DF42"/>
  <c r="DG42"/>
  <c r="DH42"/>
  <c r="DI42"/>
  <c r="DJ42"/>
  <c r="DK42"/>
  <c r="DL42"/>
  <c r="DM42"/>
  <c r="DN42"/>
  <c r="DO42"/>
  <c r="DF43"/>
  <c r="DG43"/>
  <c r="DH43"/>
  <c r="DI43"/>
  <c r="DJ43"/>
  <c r="DK43"/>
  <c r="DL43"/>
  <c r="DM43"/>
  <c r="DN43"/>
  <c r="DO43"/>
  <c r="DF44"/>
  <c r="DG44"/>
  <c r="DH44"/>
  <c r="DI44"/>
  <c r="DJ44"/>
  <c r="DK44"/>
  <c r="DL44"/>
  <c r="DM44"/>
  <c r="DN44"/>
  <c r="DO44"/>
  <c r="DF45"/>
  <c r="DG45"/>
  <c r="DH45"/>
  <c r="DI45"/>
  <c r="DJ45"/>
  <c r="DK45"/>
  <c r="DL45"/>
  <c r="DM45"/>
  <c r="DN45"/>
  <c r="DO45"/>
  <c r="DF46"/>
  <c r="DG46"/>
  <c r="DH46"/>
  <c r="DI46"/>
  <c r="DJ46"/>
  <c r="DK46"/>
  <c r="DL46"/>
  <c r="DM46"/>
  <c r="DN46"/>
  <c r="DO46"/>
  <c r="DF47"/>
  <c r="DG47"/>
  <c r="DH47"/>
  <c r="DI47"/>
  <c r="DJ47"/>
  <c r="DK47"/>
  <c r="DL47"/>
  <c r="DM47"/>
  <c r="DN47"/>
  <c r="DO47"/>
  <c r="DF48"/>
  <c r="DG48"/>
  <c r="DH48"/>
  <c r="DI48"/>
  <c r="DJ48"/>
  <c r="DK48"/>
  <c r="DL48"/>
  <c r="DM48"/>
  <c r="DN48"/>
  <c r="DO48"/>
  <c r="DF49"/>
  <c r="DG49"/>
  <c r="DH49"/>
  <c r="DI49"/>
  <c r="DJ49"/>
  <c r="DK49"/>
  <c r="DL49"/>
  <c r="DM49"/>
  <c r="DN49"/>
  <c r="DO49"/>
  <c r="DF50"/>
  <c r="DG50"/>
  <c r="DH50"/>
  <c r="DI50"/>
  <c r="DJ50"/>
  <c r="DK50"/>
  <c r="DL50"/>
  <c r="DM50"/>
  <c r="DN50"/>
  <c r="DO50"/>
  <c r="DF51"/>
  <c r="DG51"/>
  <c r="DH51"/>
  <c r="DI51"/>
  <c r="DJ51"/>
  <c r="DK51"/>
  <c r="DL51"/>
  <c r="DM51"/>
  <c r="DN51"/>
  <c r="DO51"/>
  <c r="DF52"/>
  <c r="DG52"/>
  <c r="DH52"/>
  <c r="DI52"/>
  <c r="DJ52"/>
  <c r="DK52"/>
  <c r="DL52"/>
  <c r="DM52"/>
  <c r="DN52"/>
  <c r="DO52"/>
  <c r="DF53"/>
  <c r="DG53"/>
  <c r="DH53"/>
  <c r="DI53"/>
  <c r="DJ53"/>
  <c r="DK53"/>
  <c r="DL53"/>
  <c r="DM53"/>
  <c r="DN53"/>
  <c r="DO53"/>
  <c r="DF54"/>
  <c r="DG54"/>
  <c r="DH54"/>
  <c r="DI54"/>
  <c r="DJ54"/>
  <c r="DK54"/>
  <c r="DL54"/>
  <c r="DM54"/>
  <c r="DN54"/>
  <c r="DO54"/>
  <c r="DF55"/>
  <c r="DG55"/>
  <c r="DH55"/>
  <c r="DI55"/>
  <c r="DJ55"/>
  <c r="DK55"/>
  <c r="DL55"/>
  <c r="DM55"/>
  <c r="DN55"/>
  <c r="DO55"/>
  <c r="DF56"/>
  <c r="DG56"/>
  <c r="DH56"/>
  <c r="DI56"/>
  <c r="DJ56"/>
  <c r="DK56"/>
  <c r="DL56"/>
  <c r="DM56"/>
  <c r="DN56"/>
  <c r="DO56"/>
  <c r="DF57"/>
  <c r="DG57"/>
  <c r="DH57"/>
  <c r="DI57"/>
  <c r="DJ57"/>
  <c r="DK57"/>
  <c r="DL57"/>
  <c r="DM57"/>
  <c r="DN57"/>
  <c r="DO57"/>
  <c r="DF59"/>
  <c r="DG59"/>
  <c r="DH59"/>
  <c r="DI59"/>
  <c r="DJ59"/>
  <c r="DK59"/>
  <c r="DL59"/>
  <c r="DM59"/>
  <c r="DN59"/>
  <c r="DO59"/>
  <c r="DF60"/>
  <c r="DG60"/>
  <c r="DH60"/>
  <c r="DI60"/>
  <c r="DJ60"/>
  <c r="DK60"/>
  <c r="DL60"/>
  <c r="DM60"/>
  <c r="DN60"/>
  <c r="DO60"/>
  <c r="DF61"/>
  <c r="DG61"/>
  <c r="DH61"/>
  <c r="DI61"/>
  <c r="DJ61"/>
  <c r="DK61"/>
  <c r="DL61"/>
  <c r="DM61"/>
  <c r="DN61"/>
  <c r="DO61"/>
  <c r="DF62"/>
  <c r="DG62"/>
  <c r="DH62"/>
  <c r="DI62"/>
  <c r="DJ62"/>
  <c r="DK62"/>
  <c r="DL62"/>
  <c r="DM62"/>
  <c r="DN62"/>
  <c r="DO62"/>
  <c r="DF63"/>
  <c r="DG63"/>
  <c r="DH63"/>
  <c r="DI63"/>
  <c r="DJ63"/>
  <c r="DK63"/>
  <c r="DL63"/>
  <c r="DM63"/>
  <c r="DN63"/>
  <c r="DO63"/>
  <c r="DF64"/>
  <c r="DG64"/>
  <c r="DH64"/>
  <c r="DI64"/>
  <c r="DJ64"/>
  <c r="DK64"/>
  <c r="DL64"/>
  <c r="DM64"/>
  <c r="DN64"/>
  <c r="DO64"/>
  <c r="DG66"/>
  <c r="DH66"/>
  <c r="DI66"/>
  <c r="DJ66"/>
  <c r="DK66"/>
  <c r="DL66"/>
  <c r="DM66"/>
  <c r="DN66"/>
  <c r="DO66"/>
  <c r="DF67"/>
  <c r="DG67"/>
  <c r="DH67"/>
  <c r="DI67"/>
  <c r="DJ67"/>
  <c r="DK67"/>
  <c r="DL67"/>
  <c r="DM67"/>
  <c r="DN67"/>
  <c r="DO67"/>
  <c r="DF68"/>
  <c r="DG68"/>
  <c r="DH68"/>
  <c r="DI68"/>
  <c r="DJ68"/>
  <c r="DK68"/>
  <c r="DL68"/>
  <c r="DM68"/>
  <c r="DN68"/>
  <c r="DO68"/>
  <c r="DF69"/>
  <c r="DG69"/>
  <c r="DH69"/>
  <c r="DI69"/>
  <c r="DJ69"/>
  <c r="DK69"/>
  <c r="DL69"/>
  <c r="DM69"/>
  <c r="DN69"/>
  <c r="DO69"/>
  <c r="DF70"/>
  <c r="DG70"/>
  <c r="DH70"/>
  <c r="DI70"/>
  <c r="DJ70"/>
  <c r="DK70"/>
  <c r="DL70"/>
  <c r="DM70"/>
  <c r="DN70"/>
  <c r="DO70"/>
  <c r="DF75"/>
  <c r="DG75"/>
  <c r="DH75"/>
  <c r="DI75"/>
  <c r="DJ75"/>
  <c r="DK75"/>
  <c r="DL75"/>
  <c r="DM75"/>
  <c r="DN75"/>
  <c r="DO75"/>
  <c r="DF76"/>
  <c r="DG76"/>
  <c r="DH76"/>
  <c r="DI76"/>
  <c r="DJ76"/>
  <c r="DK76"/>
  <c r="DL76"/>
  <c r="DM76"/>
  <c r="DN76"/>
  <c r="DO76"/>
  <c r="DF77"/>
  <c r="DG77"/>
  <c r="DH77"/>
  <c r="DI77"/>
  <c r="DJ77"/>
  <c r="DK77"/>
  <c r="DL77"/>
  <c r="DM77"/>
  <c r="DN77"/>
  <c r="DO77"/>
  <c r="DF78"/>
  <c r="DG78"/>
  <c r="DH78"/>
  <c r="DI78"/>
  <c r="DJ78"/>
  <c r="DK78"/>
  <c r="DL78"/>
  <c r="DM78"/>
  <c r="DN78"/>
  <c r="DO78"/>
  <c r="DF79"/>
  <c r="DG79"/>
  <c r="DH79"/>
  <c r="DI79"/>
  <c r="DJ79"/>
  <c r="DK79"/>
  <c r="DL79"/>
  <c r="DM79"/>
  <c r="DN79"/>
  <c r="DO79"/>
  <c r="DF80"/>
  <c r="DG80"/>
  <c r="DH80"/>
  <c r="DI80"/>
  <c r="DJ80"/>
  <c r="DK80"/>
  <c r="DL80"/>
  <c r="DM80"/>
  <c r="DN80"/>
  <c r="DO80"/>
  <c r="DG81"/>
  <c r="DI81"/>
  <c r="DJ81"/>
  <c r="DK81"/>
  <c r="DL81"/>
  <c r="DM81"/>
  <c r="DN81"/>
  <c r="DO81"/>
  <c r="DF82"/>
  <c r="DG82"/>
  <c r="DH82"/>
  <c r="DI82"/>
  <c r="DJ82"/>
  <c r="DK82"/>
  <c r="DL82"/>
  <c r="DM82"/>
  <c r="DN82"/>
  <c r="DO82"/>
  <c r="DF83"/>
  <c r="DG83"/>
  <c r="DH83"/>
  <c r="DI83"/>
  <c r="DJ83"/>
  <c r="DK83"/>
  <c r="DL83"/>
  <c r="DM83"/>
  <c r="DN83"/>
  <c r="DO83"/>
  <c r="DF84"/>
  <c r="DG84"/>
  <c r="DH84"/>
  <c r="DI84"/>
  <c r="DJ84"/>
  <c r="DK84"/>
  <c r="DL84"/>
  <c r="DM84"/>
  <c r="DN84"/>
  <c r="DO84"/>
  <c r="DF71"/>
  <c r="DG71"/>
  <c r="DH71"/>
  <c r="DI71"/>
  <c r="DJ71"/>
  <c r="DK71"/>
  <c r="DL71"/>
  <c r="DM71"/>
  <c r="DN71"/>
  <c r="DO71"/>
  <c r="DF72"/>
  <c r="DG72"/>
  <c r="DH72"/>
  <c r="DI72"/>
  <c r="DJ72"/>
  <c r="DK72"/>
  <c r="DL72"/>
  <c r="DM72"/>
  <c r="DN72"/>
  <c r="DO72"/>
  <c r="DF73"/>
  <c r="DG73"/>
  <c r="DH73"/>
  <c r="DI73"/>
  <c r="DJ73"/>
  <c r="DK73"/>
  <c r="DL73"/>
  <c r="DM73"/>
  <c r="DN73"/>
  <c r="DO73"/>
  <c r="DF74"/>
  <c r="DG74"/>
  <c r="DH74"/>
  <c r="DI74"/>
  <c r="DJ74"/>
  <c r="DK74"/>
  <c r="DL74"/>
  <c r="DM74"/>
  <c r="DN74"/>
  <c r="DO74"/>
  <c r="DG6"/>
  <c r="DH6"/>
  <c r="DI6"/>
  <c r="DJ6"/>
  <c r="DK6"/>
  <c r="DL6"/>
  <c r="DM6"/>
  <c r="DN6"/>
  <c r="DO6"/>
  <c r="DF6"/>
  <c r="CS7"/>
  <c r="CT7"/>
  <c r="CU7"/>
  <c r="CV7"/>
  <c r="CW7"/>
  <c r="CX7"/>
  <c r="CY7"/>
  <c r="CZ7"/>
  <c r="DA7"/>
  <c r="DB7"/>
  <c r="DD7"/>
  <c r="CS8"/>
  <c r="CT8"/>
  <c r="CU8"/>
  <c r="CV8"/>
  <c r="CW8"/>
  <c r="CX8"/>
  <c r="CY8"/>
  <c r="CZ8"/>
  <c r="DA8"/>
  <c r="DB8"/>
  <c r="DD8"/>
  <c r="CS9"/>
  <c r="CT9"/>
  <c r="CU9"/>
  <c r="CV9"/>
  <c r="CW9"/>
  <c r="CX9"/>
  <c r="CY9"/>
  <c r="CZ9"/>
  <c r="DA9"/>
  <c r="DB9"/>
  <c r="DD9"/>
  <c r="CS10"/>
  <c r="CT10"/>
  <c r="CU10"/>
  <c r="CV10"/>
  <c r="CW10"/>
  <c r="CX10"/>
  <c r="CY10"/>
  <c r="CZ10"/>
  <c r="DA10"/>
  <c r="DB10"/>
  <c r="DD10"/>
  <c r="CS11"/>
  <c r="CT11"/>
  <c r="CU11"/>
  <c r="CV11"/>
  <c r="CW11"/>
  <c r="CX11"/>
  <c r="CY11"/>
  <c r="CZ11"/>
  <c r="DA11"/>
  <c r="DB11"/>
  <c r="DD11"/>
  <c r="CS12"/>
  <c r="CT12"/>
  <c r="CU12"/>
  <c r="CV12"/>
  <c r="CW12"/>
  <c r="CX12"/>
  <c r="CY12"/>
  <c r="CZ12"/>
  <c r="DA12"/>
  <c r="DB12"/>
  <c r="DD12"/>
  <c r="CS14"/>
  <c r="CT14"/>
  <c r="CU14"/>
  <c r="CV14"/>
  <c r="CW14"/>
  <c r="CX14"/>
  <c r="CY14"/>
  <c r="CZ14"/>
  <c r="DA14"/>
  <c r="DB14"/>
  <c r="DD14"/>
  <c r="CS15"/>
  <c r="CT15"/>
  <c r="CU15"/>
  <c r="CV15"/>
  <c r="CW15"/>
  <c r="CX15"/>
  <c r="CY15"/>
  <c r="CZ15"/>
  <c r="DA15"/>
  <c r="DB15"/>
  <c r="DD15"/>
  <c r="CS16"/>
  <c r="CT16"/>
  <c r="CU16"/>
  <c r="CV16"/>
  <c r="CW16"/>
  <c r="CX16"/>
  <c r="CY16"/>
  <c r="CZ16"/>
  <c r="DA16"/>
  <c r="DB16"/>
  <c r="DD16"/>
  <c r="CS17"/>
  <c r="CT17"/>
  <c r="CU17"/>
  <c r="CV17"/>
  <c r="CW17"/>
  <c r="CX17"/>
  <c r="CY17"/>
  <c r="CZ17"/>
  <c r="DA17"/>
  <c r="DB17"/>
  <c r="DD17"/>
  <c r="CS19"/>
  <c r="CT19"/>
  <c r="CU19"/>
  <c r="CV19"/>
  <c r="CW19"/>
  <c r="CX19"/>
  <c r="CY19"/>
  <c r="CZ19"/>
  <c r="DA19"/>
  <c r="DB19"/>
  <c r="DD19"/>
  <c r="CS20"/>
  <c r="CT20"/>
  <c r="CU20"/>
  <c r="CV20"/>
  <c r="CW20"/>
  <c r="CX20"/>
  <c r="CY20"/>
  <c r="CZ20"/>
  <c r="DA20"/>
  <c r="DB20"/>
  <c r="DD20"/>
  <c r="CS21"/>
  <c r="CT21"/>
  <c r="CU21"/>
  <c r="CV21"/>
  <c r="CW21"/>
  <c r="CX21"/>
  <c r="CY21"/>
  <c r="CZ21"/>
  <c r="DA21"/>
  <c r="DB21"/>
  <c r="DD21"/>
  <c r="CS23"/>
  <c r="CT23"/>
  <c r="CU23"/>
  <c r="CV23"/>
  <c r="CW23"/>
  <c r="CX23"/>
  <c r="CY23"/>
  <c r="CZ23"/>
  <c r="DA23"/>
  <c r="DB23"/>
  <c r="DD23"/>
  <c r="CS24"/>
  <c r="CT24"/>
  <c r="CU24"/>
  <c r="CV24"/>
  <c r="CW24"/>
  <c r="CX24"/>
  <c r="CY24"/>
  <c r="CZ24"/>
  <c r="DA24"/>
  <c r="DB24"/>
  <c r="DD24"/>
  <c r="CS25"/>
  <c r="CT25"/>
  <c r="CU25"/>
  <c r="CV25"/>
  <c r="CW25"/>
  <c r="CX25"/>
  <c r="CY25"/>
  <c r="CZ25"/>
  <c r="DA25"/>
  <c r="DB25"/>
  <c r="DD25"/>
  <c r="CS26"/>
  <c r="CT26"/>
  <c r="CU26"/>
  <c r="CV26"/>
  <c r="CW26"/>
  <c r="CX26"/>
  <c r="CY26"/>
  <c r="CZ26"/>
  <c r="DA26"/>
  <c r="DB26"/>
  <c r="DD26"/>
  <c r="CS27"/>
  <c r="CT27"/>
  <c r="CU27"/>
  <c r="CV27"/>
  <c r="CW27"/>
  <c r="CX27"/>
  <c r="CY27"/>
  <c r="CZ27"/>
  <c r="DA27"/>
  <c r="DB27"/>
  <c r="DD27"/>
  <c r="CS29"/>
  <c r="CT29"/>
  <c r="CU29"/>
  <c r="CV29"/>
  <c r="CW29"/>
  <c r="CX29"/>
  <c r="CY29"/>
  <c r="CZ29"/>
  <c r="DA29"/>
  <c r="DB29"/>
  <c r="DD29"/>
  <c r="CS30"/>
  <c r="CT30"/>
  <c r="CU30"/>
  <c r="CV30"/>
  <c r="CW30"/>
  <c r="CX30"/>
  <c r="CY30"/>
  <c r="CZ30"/>
  <c r="DA30"/>
  <c r="DB30"/>
  <c r="DD30"/>
  <c r="CS31"/>
  <c r="CT31"/>
  <c r="CU31"/>
  <c r="CV31"/>
  <c r="CW31"/>
  <c r="CX31"/>
  <c r="CY31"/>
  <c r="CZ31"/>
  <c r="DA31"/>
  <c r="DB31"/>
  <c r="DD31"/>
  <c r="CS32"/>
  <c r="CT32"/>
  <c r="CU32"/>
  <c r="CV32"/>
  <c r="CW32"/>
  <c r="CX32"/>
  <c r="CY32"/>
  <c r="CZ32"/>
  <c r="DA32"/>
  <c r="DB32"/>
  <c r="DD32"/>
  <c r="CS33"/>
  <c r="CT33"/>
  <c r="CU33"/>
  <c r="CV33"/>
  <c r="CW33"/>
  <c r="CX33"/>
  <c r="CY33"/>
  <c r="CZ33"/>
  <c r="DA33"/>
  <c r="DB33"/>
  <c r="DD33"/>
  <c r="CS34"/>
  <c r="CT34"/>
  <c r="CU34"/>
  <c r="CV34"/>
  <c r="CW34"/>
  <c r="CX34"/>
  <c r="CY34"/>
  <c r="CZ34"/>
  <c r="DA34"/>
  <c r="DB34"/>
  <c r="DD34"/>
  <c r="CS36"/>
  <c r="CT36"/>
  <c r="CU36"/>
  <c r="CV36"/>
  <c r="CW36"/>
  <c r="CX36"/>
  <c r="CY36"/>
  <c r="CZ36"/>
  <c r="DA36"/>
  <c r="DB36"/>
  <c r="DD36"/>
  <c r="CS37"/>
  <c r="CT37"/>
  <c r="CU37"/>
  <c r="CV37"/>
  <c r="CW37"/>
  <c r="CX37"/>
  <c r="CY37"/>
  <c r="CZ37"/>
  <c r="DA37"/>
  <c r="DB37"/>
  <c r="DD37"/>
  <c r="CS38"/>
  <c r="CT38"/>
  <c r="CU38"/>
  <c r="CV38"/>
  <c r="CW38"/>
  <c r="CX38"/>
  <c r="CY38"/>
  <c r="CZ38"/>
  <c r="DA38"/>
  <c r="DB38"/>
  <c r="DD38"/>
  <c r="CS39"/>
  <c r="CT39"/>
  <c r="CU39"/>
  <c r="CV39"/>
  <c r="CW39"/>
  <c r="CX39"/>
  <c r="CY39"/>
  <c r="CZ39"/>
  <c r="DA39"/>
  <c r="DB39"/>
  <c r="DD39"/>
  <c r="CS40"/>
  <c r="CT40"/>
  <c r="CU40"/>
  <c r="CV40"/>
  <c r="CW40"/>
  <c r="CX40"/>
  <c r="CY40"/>
  <c r="CZ40"/>
  <c r="DA40"/>
  <c r="DB40"/>
  <c r="DD40"/>
  <c r="CS41"/>
  <c r="CT41"/>
  <c r="CU41"/>
  <c r="CV41"/>
  <c r="CW41"/>
  <c r="CX41"/>
  <c r="CY41"/>
  <c r="CZ41"/>
  <c r="DA41"/>
  <c r="DB41"/>
  <c r="DD41"/>
  <c r="CS42"/>
  <c r="CT42"/>
  <c r="CU42"/>
  <c r="CV42"/>
  <c r="CW42"/>
  <c r="CX42"/>
  <c r="CY42"/>
  <c r="CZ42"/>
  <c r="DA42"/>
  <c r="DB42"/>
  <c r="DD42"/>
  <c r="CS43"/>
  <c r="CT43"/>
  <c r="CU43"/>
  <c r="CV43"/>
  <c r="CW43"/>
  <c r="CX43"/>
  <c r="CY43"/>
  <c r="CZ43"/>
  <c r="DA43"/>
  <c r="DB43"/>
  <c r="DD43"/>
  <c r="CS44"/>
  <c r="CT44"/>
  <c r="CU44"/>
  <c r="CV44"/>
  <c r="CW44"/>
  <c r="CX44"/>
  <c r="CY44"/>
  <c r="CZ44"/>
  <c r="DA44"/>
  <c r="DB44"/>
  <c r="DD44"/>
  <c r="CS45"/>
  <c r="CT45"/>
  <c r="CU45"/>
  <c r="CV45"/>
  <c r="CW45"/>
  <c r="CX45"/>
  <c r="CY45"/>
  <c r="CZ45"/>
  <c r="DA45"/>
  <c r="DB45"/>
  <c r="DD45"/>
  <c r="CS46"/>
  <c r="CT46"/>
  <c r="CU46"/>
  <c r="CV46"/>
  <c r="CW46"/>
  <c r="CX46"/>
  <c r="CY46"/>
  <c r="CZ46"/>
  <c r="DA46"/>
  <c r="DB46"/>
  <c r="DD46"/>
  <c r="CS47"/>
  <c r="CT47"/>
  <c r="CU47"/>
  <c r="CV47"/>
  <c r="CW47"/>
  <c r="CX47"/>
  <c r="CY47"/>
  <c r="CZ47"/>
  <c r="DA47"/>
  <c r="DB47"/>
  <c r="DD47"/>
  <c r="CS48"/>
  <c r="CT48"/>
  <c r="CU48"/>
  <c r="CV48"/>
  <c r="CW48"/>
  <c r="CX48"/>
  <c r="CY48"/>
  <c r="CZ48"/>
  <c r="DA48"/>
  <c r="DB48"/>
  <c r="DD48"/>
  <c r="CS49"/>
  <c r="CT49"/>
  <c r="CU49"/>
  <c r="CV49"/>
  <c r="CW49"/>
  <c r="CX49"/>
  <c r="CY49"/>
  <c r="CZ49"/>
  <c r="DA49"/>
  <c r="DB49"/>
  <c r="DD49"/>
  <c r="CS50"/>
  <c r="CT50"/>
  <c r="CU50"/>
  <c r="CV50"/>
  <c r="CW50"/>
  <c r="CX50"/>
  <c r="CY50"/>
  <c r="CZ50"/>
  <c r="DA50"/>
  <c r="DB50"/>
  <c r="DD50"/>
  <c r="CS51"/>
  <c r="CT51"/>
  <c r="CU51"/>
  <c r="CV51"/>
  <c r="CW51"/>
  <c r="CX51"/>
  <c r="CY51"/>
  <c r="CZ51"/>
  <c r="DA51"/>
  <c r="DB51"/>
  <c r="DD51"/>
  <c r="CS52"/>
  <c r="CT52"/>
  <c r="CU52"/>
  <c r="CV52"/>
  <c r="CW52"/>
  <c r="CX52"/>
  <c r="CY52"/>
  <c r="CZ52"/>
  <c r="DA52"/>
  <c r="DB52"/>
  <c r="DD52"/>
  <c r="CS53"/>
  <c r="CT53"/>
  <c r="CU53"/>
  <c r="CV53"/>
  <c r="CW53"/>
  <c r="CX53"/>
  <c r="CY53"/>
  <c r="CZ53"/>
  <c r="DA53"/>
  <c r="DB53"/>
  <c r="DD53"/>
  <c r="CS54"/>
  <c r="CT54"/>
  <c r="CU54"/>
  <c r="CV54"/>
  <c r="CW54"/>
  <c r="CX54"/>
  <c r="CY54"/>
  <c r="CZ54"/>
  <c r="DA54"/>
  <c r="DB54"/>
  <c r="DD54"/>
  <c r="CS55"/>
  <c r="CT55"/>
  <c r="CU55"/>
  <c r="CV55"/>
  <c r="CW55"/>
  <c r="CX55"/>
  <c r="CY55"/>
  <c r="CZ55"/>
  <c r="DA55"/>
  <c r="DB55"/>
  <c r="DD55"/>
  <c r="CS56"/>
  <c r="CT56"/>
  <c r="CU56"/>
  <c r="CV56"/>
  <c r="CW56"/>
  <c r="CX56"/>
  <c r="CY56"/>
  <c r="CZ56"/>
  <c r="DA56"/>
  <c r="DB56"/>
  <c r="DD56"/>
  <c r="CS57"/>
  <c r="CT57"/>
  <c r="CU57"/>
  <c r="CV57"/>
  <c r="CW57"/>
  <c r="CX57"/>
  <c r="CY57"/>
  <c r="CZ57"/>
  <c r="DA57"/>
  <c r="DB57"/>
  <c r="DD57"/>
  <c r="CS59"/>
  <c r="CT59"/>
  <c r="CU59"/>
  <c r="CV59"/>
  <c r="CW59"/>
  <c r="CX59"/>
  <c r="CY59"/>
  <c r="CZ59"/>
  <c r="DA59"/>
  <c r="DB59"/>
  <c r="DD59"/>
  <c r="CS60"/>
  <c r="CT60"/>
  <c r="CU60"/>
  <c r="CV60"/>
  <c r="CW60"/>
  <c r="CX60"/>
  <c r="CY60"/>
  <c r="CZ60"/>
  <c r="DA60"/>
  <c r="DB60"/>
  <c r="DD60"/>
  <c r="CS61"/>
  <c r="CT61"/>
  <c r="CU61"/>
  <c r="CV61"/>
  <c r="CW61"/>
  <c r="CX61"/>
  <c r="CY61"/>
  <c r="CZ61"/>
  <c r="DA61"/>
  <c r="DB61"/>
  <c r="DD61"/>
  <c r="CS62"/>
  <c r="CT62"/>
  <c r="CU62"/>
  <c r="CV62"/>
  <c r="CW62"/>
  <c r="CX62"/>
  <c r="CY62"/>
  <c r="CZ62"/>
  <c r="DA62"/>
  <c r="DB62"/>
  <c r="DD62"/>
  <c r="CS63"/>
  <c r="CT63"/>
  <c r="CU63"/>
  <c r="CV63"/>
  <c r="CW63"/>
  <c r="CX63"/>
  <c r="CY63"/>
  <c r="CZ63"/>
  <c r="DA63"/>
  <c r="DB63"/>
  <c r="DD63"/>
  <c r="CS64"/>
  <c r="CT64"/>
  <c r="CU64"/>
  <c r="CV64"/>
  <c r="CW64"/>
  <c r="CX64"/>
  <c r="CY64"/>
  <c r="CZ64"/>
  <c r="DA64"/>
  <c r="DB64"/>
  <c r="DD64"/>
  <c r="CS65"/>
  <c r="CT65"/>
  <c r="CU65"/>
  <c r="CV65"/>
  <c r="CW65"/>
  <c r="CX65"/>
  <c r="CY65"/>
  <c r="CZ65"/>
  <c r="DA65"/>
  <c r="DB65"/>
  <c r="DD65"/>
  <c r="CS66"/>
  <c r="CT66"/>
  <c r="CU66"/>
  <c r="CV66"/>
  <c r="CW66"/>
  <c r="CX66"/>
  <c r="CY66"/>
  <c r="CZ66"/>
  <c r="DA66"/>
  <c r="DB66"/>
  <c r="DD66"/>
  <c r="CS67"/>
  <c r="CT67"/>
  <c r="CU67"/>
  <c r="CV67"/>
  <c r="CW67"/>
  <c r="CX67"/>
  <c r="CY67"/>
  <c r="CZ67"/>
  <c r="DA67"/>
  <c r="DB67"/>
  <c r="DD67"/>
  <c r="CS68"/>
  <c r="CT68"/>
  <c r="CU68"/>
  <c r="CV68"/>
  <c r="CW68"/>
  <c r="CX68"/>
  <c r="CY68"/>
  <c r="CZ68"/>
  <c r="DA68"/>
  <c r="DB68"/>
  <c r="DD68"/>
  <c r="CS69"/>
  <c r="CT69"/>
  <c r="CU69"/>
  <c r="CV69"/>
  <c r="CW69"/>
  <c r="CX69"/>
  <c r="CY69"/>
  <c r="CZ69"/>
  <c r="DA69"/>
  <c r="DB69"/>
  <c r="DD69"/>
  <c r="CS70"/>
  <c r="CT70"/>
  <c r="CU70"/>
  <c r="CV70"/>
  <c r="CW70"/>
  <c r="CX70"/>
  <c r="CY70"/>
  <c r="CZ70"/>
  <c r="DA70"/>
  <c r="DB70"/>
  <c r="DD70"/>
  <c r="CS75"/>
  <c r="CT75"/>
  <c r="CU75"/>
  <c r="CV75"/>
  <c r="CW75"/>
  <c r="CX75"/>
  <c r="CY75"/>
  <c r="CZ75"/>
  <c r="DA75"/>
  <c r="DB75"/>
  <c r="DD75"/>
  <c r="CS76"/>
  <c r="CT76"/>
  <c r="CU76"/>
  <c r="CV76"/>
  <c r="CW76"/>
  <c r="CX76"/>
  <c r="CY76"/>
  <c r="CZ76"/>
  <c r="DA76"/>
  <c r="DB76"/>
  <c r="DD76"/>
  <c r="CS77"/>
  <c r="CT77"/>
  <c r="CU77"/>
  <c r="CV77"/>
  <c r="CW77"/>
  <c r="CX77"/>
  <c r="CY77"/>
  <c r="CZ77"/>
  <c r="DA77"/>
  <c r="DB77"/>
  <c r="DD77"/>
  <c r="CS78"/>
  <c r="CT78"/>
  <c r="CU78"/>
  <c r="CV78"/>
  <c r="CW78"/>
  <c r="CX78"/>
  <c r="CY78"/>
  <c r="CZ78"/>
  <c r="DA78"/>
  <c r="DB78"/>
  <c r="DD78"/>
  <c r="CS79"/>
  <c r="CT79"/>
  <c r="CU79"/>
  <c r="CV79"/>
  <c r="CW79"/>
  <c r="CX79"/>
  <c r="CY79"/>
  <c r="CZ79"/>
  <c r="DA79"/>
  <c r="DB79"/>
  <c r="DD79"/>
  <c r="CS80"/>
  <c r="CT80"/>
  <c r="CU80"/>
  <c r="CV80"/>
  <c r="CW80"/>
  <c r="CX80"/>
  <c r="CY80"/>
  <c r="CZ80"/>
  <c r="DA80"/>
  <c r="DB80"/>
  <c r="DD80"/>
  <c r="CS81"/>
  <c r="CT81"/>
  <c r="CU81"/>
  <c r="CV81"/>
  <c r="CW81"/>
  <c r="CX81"/>
  <c r="CY81"/>
  <c r="CZ81"/>
  <c r="DA81"/>
  <c r="DB81"/>
  <c r="DD81"/>
  <c r="CS82"/>
  <c r="CT82"/>
  <c r="CU82"/>
  <c r="CV82"/>
  <c r="CW82"/>
  <c r="CX82"/>
  <c r="CY82"/>
  <c r="CZ82"/>
  <c r="DA82"/>
  <c r="DB82"/>
  <c r="DD82"/>
  <c r="CS83"/>
  <c r="CT83"/>
  <c r="CU83"/>
  <c r="CV83"/>
  <c r="CW83"/>
  <c r="CX83"/>
  <c r="CY83"/>
  <c r="CZ83"/>
  <c r="DA83"/>
  <c r="DB83"/>
  <c r="DD83"/>
  <c r="CS84"/>
  <c r="CT84"/>
  <c r="CU84"/>
  <c r="CV84"/>
  <c r="CW84"/>
  <c r="CX84"/>
  <c r="CY84"/>
  <c r="CZ84"/>
  <c r="DA84"/>
  <c r="DB84"/>
  <c r="DD84"/>
  <c r="CS71"/>
  <c r="CT71"/>
  <c r="CU71"/>
  <c r="CV71"/>
  <c r="CW71"/>
  <c r="CX71"/>
  <c r="CY71"/>
  <c r="CZ71"/>
  <c r="DA71"/>
  <c r="DB71"/>
  <c r="DD71"/>
  <c r="CS72"/>
  <c r="CT72"/>
  <c r="CU72"/>
  <c r="CV72"/>
  <c r="CW72"/>
  <c r="CX72"/>
  <c r="CY72"/>
  <c r="CZ72"/>
  <c r="DA72"/>
  <c r="DB72"/>
  <c r="DD72"/>
  <c r="CS73"/>
  <c r="CT73"/>
  <c r="CU73"/>
  <c r="CV73"/>
  <c r="CW73"/>
  <c r="CX73"/>
  <c r="CY73"/>
  <c r="CZ73"/>
  <c r="DA73"/>
  <c r="DB73"/>
  <c r="DD73"/>
  <c r="CS74"/>
  <c r="CT74"/>
  <c r="CU74"/>
  <c r="CV74"/>
  <c r="CW74"/>
  <c r="CX74"/>
  <c r="CY74"/>
  <c r="CZ74"/>
  <c r="DA74"/>
  <c r="DB74"/>
  <c r="DD74"/>
  <c r="CT6"/>
  <c r="CU6"/>
  <c r="CV6"/>
  <c r="CW6"/>
  <c r="CX6"/>
  <c r="CY6"/>
  <c r="CZ6"/>
  <c r="DA6"/>
  <c r="DB6"/>
  <c r="DD6"/>
  <c r="CS6"/>
  <c r="BE71"/>
  <c r="BB70"/>
  <c r="BB69"/>
  <c r="BE68"/>
  <c r="BB68"/>
  <c r="BB23"/>
  <c r="BA23"/>
  <c r="BE15"/>
  <c r="BD15"/>
  <c r="BB15"/>
  <c r="BA15"/>
  <c r="BB10"/>
  <c r="BL15"/>
  <c r="BM15"/>
  <c r="BO15"/>
  <c r="BP15"/>
  <c r="BQ15"/>
  <c r="BL27"/>
  <c r="BM42"/>
  <c r="BM45"/>
  <c r="BP45"/>
  <c r="BH65"/>
  <c r="BM68"/>
  <c r="BM69"/>
  <c r="BM70"/>
  <c r="CS89" l="1"/>
  <c r="DD89"/>
  <c r="DA89"/>
  <c r="CY89"/>
  <c r="CW89"/>
  <c r="CU89"/>
  <c r="DB89"/>
  <c r="CZ89"/>
  <c r="CX89"/>
  <c r="CV89"/>
  <c r="CT89"/>
  <c r="EV6"/>
  <c r="DX6"/>
  <c r="ET6"/>
  <c r="DV6"/>
  <c r="EP6"/>
  <c r="DR6"/>
  <c r="EZ74"/>
  <c r="EB74"/>
  <c r="EU74"/>
  <c r="DW74"/>
  <c r="EO74"/>
  <c r="DQ74"/>
  <c r="EO6"/>
  <c r="DQ6"/>
  <c r="EZ6"/>
  <c r="EB6"/>
  <c r="EW6"/>
  <c r="DY6"/>
  <c r="EU6"/>
  <c r="DW6"/>
  <c r="ES6"/>
  <c r="DU6"/>
  <c r="EQ6"/>
  <c r="DS6"/>
  <c r="EX74"/>
  <c r="DZ74"/>
  <c r="EV74"/>
  <c r="DX74"/>
  <c r="ET74"/>
  <c r="DV74"/>
  <c r="ER74"/>
  <c r="DT74"/>
  <c r="EP74"/>
  <c r="DR74"/>
  <c r="EX73"/>
  <c r="DZ73"/>
  <c r="EV73"/>
  <c r="DX73"/>
  <c r="ET73"/>
  <c r="DV73"/>
  <c r="ER73"/>
  <c r="DT73"/>
  <c r="EP73"/>
  <c r="DR73"/>
  <c r="EX72"/>
  <c r="DZ72"/>
  <c r="EV72"/>
  <c r="DX72"/>
  <c r="ET72"/>
  <c r="DV72"/>
  <c r="ER72"/>
  <c r="DT72"/>
  <c r="EP72"/>
  <c r="DR72"/>
  <c r="EX71"/>
  <c r="DZ71"/>
  <c r="EV71"/>
  <c r="DX71"/>
  <c r="ET71"/>
  <c r="DV71"/>
  <c r="ER71"/>
  <c r="DT71"/>
  <c r="EP71"/>
  <c r="DR71"/>
  <c r="EX84"/>
  <c r="DZ84"/>
  <c r="EV84"/>
  <c r="DX84"/>
  <c r="ET84"/>
  <c r="DV84"/>
  <c r="ER84"/>
  <c r="DT84"/>
  <c r="EP84"/>
  <c r="DR84"/>
  <c r="EX83"/>
  <c r="DZ83"/>
  <c r="EV83"/>
  <c r="DX83"/>
  <c r="ET83"/>
  <c r="DV83"/>
  <c r="ER83"/>
  <c r="DT83"/>
  <c r="EP83"/>
  <c r="DR83"/>
  <c r="EX82"/>
  <c r="DZ82"/>
  <c r="EV82"/>
  <c r="DX82"/>
  <c r="ET82"/>
  <c r="DV82"/>
  <c r="ER82"/>
  <c r="DT82"/>
  <c r="EP82"/>
  <c r="DR82"/>
  <c r="EX81"/>
  <c r="DZ81"/>
  <c r="EV81"/>
  <c r="DX81"/>
  <c r="ET81"/>
  <c r="DV81"/>
  <c r="ER81"/>
  <c r="DT81"/>
  <c r="EP81"/>
  <c r="DR81"/>
  <c r="EX80"/>
  <c r="DZ80"/>
  <c r="EV80"/>
  <c r="DX80"/>
  <c r="ET80"/>
  <c r="DV80"/>
  <c r="ER80"/>
  <c r="DT80"/>
  <c r="EP80"/>
  <c r="DR80"/>
  <c r="EX79"/>
  <c r="DZ79"/>
  <c r="EV79"/>
  <c r="DX79"/>
  <c r="ET79"/>
  <c r="DV79"/>
  <c r="ER79"/>
  <c r="DT79"/>
  <c r="EP79"/>
  <c r="DR79"/>
  <c r="EX78"/>
  <c r="DZ78"/>
  <c r="EV78"/>
  <c r="DX78"/>
  <c r="ET78"/>
  <c r="DV78"/>
  <c r="ER78"/>
  <c r="DT78"/>
  <c r="EP78"/>
  <c r="DR78"/>
  <c r="EX77"/>
  <c r="DZ77"/>
  <c r="EV77"/>
  <c r="DX77"/>
  <c r="ET77"/>
  <c r="DV77"/>
  <c r="ER77"/>
  <c r="DT77"/>
  <c r="EP77"/>
  <c r="DR77"/>
  <c r="EX76"/>
  <c r="DZ76"/>
  <c r="EV76"/>
  <c r="DX76"/>
  <c r="ET76"/>
  <c r="DV76"/>
  <c r="ER76"/>
  <c r="DT76"/>
  <c r="EP76"/>
  <c r="DR76"/>
  <c r="EX75"/>
  <c r="DZ75"/>
  <c r="EV75"/>
  <c r="DX75"/>
  <c r="ET75"/>
  <c r="DV75"/>
  <c r="ER75"/>
  <c r="DT75"/>
  <c r="EP75"/>
  <c r="DR75"/>
  <c r="EX70"/>
  <c r="DZ70"/>
  <c r="EV70"/>
  <c r="DX70"/>
  <c r="ET70"/>
  <c r="DV70"/>
  <c r="ER70"/>
  <c r="DT70"/>
  <c r="EP70"/>
  <c r="DR70"/>
  <c r="EX69"/>
  <c r="DZ69"/>
  <c r="EV69"/>
  <c r="DX69"/>
  <c r="ET69"/>
  <c r="DV69"/>
  <c r="ER69"/>
  <c r="DT69"/>
  <c r="EP69"/>
  <c r="DR69"/>
  <c r="EX68"/>
  <c r="DZ68"/>
  <c r="EV68"/>
  <c r="DX68"/>
  <c r="ET68"/>
  <c r="DV68"/>
  <c r="ER68"/>
  <c r="DT68"/>
  <c r="EP68"/>
  <c r="DR68"/>
  <c r="EX67"/>
  <c r="DZ67"/>
  <c r="EV67"/>
  <c r="DX67"/>
  <c r="ET67"/>
  <c r="DV67"/>
  <c r="ER67"/>
  <c r="DT67"/>
  <c r="EP67"/>
  <c r="DR67"/>
  <c r="EX66"/>
  <c r="DZ66"/>
  <c r="EV66"/>
  <c r="DX66"/>
  <c r="ET66"/>
  <c r="DV66"/>
  <c r="ER66"/>
  <c r="DT66"/>
  <c r="EP66"/>
  <c r="DR66"/>
  <c r="EX65"/>
  <c r="DZ65"/>
  <c r="EV65"/>
  <c r="DX65"/>
  <c r="ET65"/>
  <c r="DV65"/>
  <c r="ER65"/>
  <c r="DT65"/>
  <c r="EP65"/>
  <c r="DR65"/>
  <c r="EX64"/>
  <c r="DZ64"/>
  <c r="EV64"/>
  <c r="DX64"/>
  <c r="ET64"/>
  <c r="DV64"/>
  <c r="ER64"/>
  <c r="DT64"/>
  <c r="EP64"/>
  <c r="DR64"/>
  <c r="EX63"/>
  <c r="DZ63"/>
  <c r="EV63"/>
  <c r="DX63"/>
  <c r="ET63"/>
  <c r="DV63"/>
  <c r="ER63"/>
  <c r="DT63"/>
  <c r="EP63"/>
  <c r="DR63"/>
  <c r="EX62"/>
  <c r="DZ62"/>
  <c r="EV62"/>
  <c r="DX62"/>
  <c r="ET62"/>
  <c r="DV62"/>
  <c r="ER62"/>
  <c r="DT62"/>
  <c r="EP62"/>
  <c r="DR62"/>
  <c r="EX61"/>
  <c r="DZ61"/>
  <c r="EV61"/>
  <c r="DX61"/>
  <c r="ET61"/>
  <c r="DV61"/>
  <c r="ER61"/>
  <c r="DT61"/>
  <c r="EP61"/>
  <c r="DR61"/>
  <c r="EX60"/>
  <c r="DZ60"/>
  <c r="EV60"/>
  <c r="DX60"/>
  <c r="ET60"/>
  <c r="DV60"/>
  <c r="ER60"/>
  <c r="DT60"/>
  <c r="EP60"/>
  <c r="DR60"/>
  <c r="EX59"/>
  <c r="DZ59"/>
  <c r="EV59"/>
  <c r="DX59"/>
  <c r="ET59"/>
  <c r="DV59"/>
  <c r="ER59"/>
  <c r="DT59"/>
  <c r="EP59"/>
  <c r="DR59"/>
  <c r="EX57"/>
  <c r="DZ57"/>
  <c r="EV57"/>
  <c r="DX57"/>
  <c r="ET57"/>
  <c r="DV57"/>
  <c r="ER57"/>
  <c r="DT57"/>
  <c r="EP57"/>
  <c r="DR57"/>
  <c r="EX56"/>
  <c r="DZ56"/>
  <c r="EV56"/>
  <c r="DX56"/>
  <c r="ET56"/>
  <c r="DV56"/>
  <c r="ER56"/>
  <c r="DT56"/>
  <c r="EP56"/>
  <c r="DR56"/>
  <c r="EX55"/>
  <c r="DZ55"/>
  <c r="EV55"/>
  <c r="DX55"/>
  <c r="ET55"/>
  <c r="DV55"/>
  <c r="ER55"/>
  <c r="DT55"/>
  <c r="EP55"/>
  <c r="DR55"/>
  <c r="EX54"/>
  <c r="DZ54"/>
  <c r="EV54"/>
  <c r="DX54"/>
  <c r="ET54"/>
  <c r="DV54"/>
  <c r="ER54"/>
  <c r="DT54"/>
  <c r="EP54"/>
  <c r="DR54"/>
  <c r="EX53"/>
  <c r="DZ53"/>
  <c r="EV53"/>
  <c r="DX53"/>
  <c r="ET53"/>
  <c r="DV53"/>
  <c r="ER53"/>
  <c r="DT53"/>
  <c r="EP53"/>
  <c r="DR53"/>
  <c r="EX6"/>
  <c r="DZ6"/>
  <c r="ER6"/>
  <c r="DT6"/>
  <c r="EW74"/>
  <c r="DY74"/>
  <c r="ES74"/>
  <c r="DU74"/>
  <c r="EQ74"/>
  <c r="DS74"/>
  <c r="EZ73"/>
  <c r="EB73"/>
  <c r="EW73"/>
  <c r="DY73"/>
  <c r="EU73"/>
  <c r="DW73"/>
  <c r="ES73"/>
  <c r="DU73"/>
  <c r="EQ73"/>
  <c r="DS73"/>
  <c r="EO73"/>
  <c r="DQ73"/>
  <c r="EZ72"/>
  <c r="EB72"/>
  <c r="EW72"/>
  <c r="DY72"/>
  <c r="EU72"/>
  <c r="DW72"/>
  <c r="ES72"/>
  <c r="DU72"/>
  <c r="EQ72"/>
  <c r="DS72"/>
  <c r="EO72"/>
  <c r="DQ72"/>
  <c r="EZ71"/>
  <c r="EB71"/>
  <c r="EW71"/>
  <c r="DY71"/>
  <c r="EU71"/>
  <c r="DW71"/>
  <c r="ES71"/>
  <c r="DU71"/>
  <c r="EQ71"/>
  <c r="DS71"/>
  <c r="DQ71"/>
  <c r="EO71"/>
  <c r="EZ84"/>
  <c r="EB84"/>
  <c r="EW84"/>
  <c r="DY84"/>
  <c r="EU84"/>
  <c r="DW84"/>
  <c r="ES84"/>
  <c r="DU84"/>
  <c r="EQ84"/>
  <c r="DS84"/>
  <c r="EO84"/>
  <c r="DQ84"/>
  <c r="EZ83"/>
  <c r="EB83"/>
  <c r="EW83"/>
  <c r="DY83"/>
  <c r="EU83"/>
  <c r="DW83"/>
  <c r="ES83"/>
  <c r="DU83"/>
  <c r="EQ83"/>
  <c r="DS83"/>
  <c r="DQ83"/>
  <c r="EO83"/>
  <c r="EZ82"/>
  <c r="EB82"/>
  <c r="EW82"/>
  <c r="DY82"/>
  <c r="EU82"/>
  <c r="DW82"/>
  <c r="ES82"/>
  <c r="DU82"/>
  <c r="EQ82"/>
  <c r="DS82"/>
  <c r="EO82"/>
  <c r="DQ82"/>
  <c r="EZ81"/>
  <c r="EB81"/>
  <c r="EW81"/>
  <c r="DY81"/>
  <c r="EU81"/>
  <c r="DW81"/>
  <c r="ES81"/>
  <c r="DU81"/>
  <c r="EQ81"/>
  <c r="DS81"/>
  <c r="DQ81"/>
  <c r="EO81"/>
  <c r="EZ80"/>
  <c r="EB80"/>
  <c r="EW80"/>
  <c r="DY80"/>
  <c r="EU80"/>
  <c r="DW80"/>
  <c r="ES80"/>
  <c r="DU80"/>
  <c r="EQ80"/>
  <c r="DS80"/>
  <c r="EO80"/>
  <c r="DQ80"/>
  <c r="EZ79"/>
  <c r="EB79"/>
  <c r="EW79"/>
  <c r="DY79"/>
  <c r="EU79"/>
  <c r="DW79"/>
  <c r="ES79"/>
  <c r="DU79"/>
  <c r="EQ79"/>
  <c r="DS79"/>
  <c r="EO79"/>
  <c r="DQ79"/>
  <c r="EZ78"/>
  <c r="EB78"/>
  <c r="EW78"/>
  <c r="DY78"/>
  <c r="EU78"/>
  <c r="DW78"/>
  <c r="ES78"/>
  <c r="DU78"/>
  <c r="EQ78"/>
  <c r="DS78"/>
  <c r="EO78"/>
  <c r="DQ78"/>
  <c r="EZ77"/>
  <c r="EB77"/>
  <c r="EW77"/>
  <c r="DY77"/>
  <c r="EU77"/>
  <c r="DW77"/>
  <c r="ES77"/>
  <c r="DU77"/>
  <c r="EQ77"/>
  <c r="DS77"/>
  <c r="DQ77"/>
  <c r="EO77"/>
  <c r="EZ76"/>
  <c r="EB76"/>
  <c r="EW76"/>
  <c r="DY76"/>
  <c r="EU76"/>
  <c r="DW76"/>
  <c r="ES76"/>
  <c r="DU76"/>
  <c r="EQ76"/>
  <c r="DS76"/>
  <c r="EO76"/>
  <c r="DQ76"/>
  <c r="EZ75"/>
  <c r="EB75"/>
  <c r="EW75"/>
  <c r="DY75"/>
  <c r="EU75"/>
  <c r="DW75"/>
  <c r="ES75"/>
  <c r="DU75"/>
  <c r="EQ75"/>
  <c r="DS75"/>
  <c r="DQ75"/>
  <c r="EO75"/>
  <c r="EZ70"/>
  <c r="EB70"/>
  <c r="EW70"/>
  <c r="DY70"/>
  <c r="EU70"/>
  <c r="DW70"/>
  <c r="ES70"/>
  <c r="DU70"/>
  <c r="EQ70"/>
  <c r="DS70"/>
  <c r="EO70"/>
  <c r="DQ70"/>
  <c r="EZ69"/>
  <c r="EB69"/>
  <c r="EW69"/>
  <c r="DY69"/>
  <c r="EU69"/>
  <c r="DW69"/>
  <c r="ES69"/>
  <c r="DU69"/>
  <c r="EQ69"/>
  <c r="DS69"/>
  <c r="EO69"/>
  <c r="DQ69"/>
  <c r="EZ68"/>
  <c r="EB68"/>
  <c r="EW68"/>
  <c r="DY68"/>
  <c r="EU68"/>
  <c r="DW68"/>
  <c r="ES68"/>
  <c r="DU68"/>
  <c r="EQ68"/>
  <c r="DS68"/>
  <c r="EO68"/>
  <c r="DQ68"/>
  <c r="EZ67"/>
  <c r="EB67"/>
  <c r="EW67"/>
  <c r="DY67"/>
  <c r="EU67"/>
  <c r="DW67"/>
  <c r="ES67"/>
  <c r="DU67"/>
  <c r="EQ67"/>
  <c r="DS67"/>
  <c r="DQ67"/>
  <c r="EO67"/>
  <c r="EZ66"/>
  <c r="EB66"/>
  <c r="EW66"/>
  <c r="DY66"/>
  <c r="EU66"/>
  <c r="DW66"/>
  <c r="ES66"/>
  <c r="DU66"/>
  <c r="EQ66"/>
  <c r="DS66"/>
  <c r="EO66"/>
  <c r="DQ66"/>
  <c r="EZ65"/>
  <c r="EB65"/>
  <c r="EW65"/>
  <c r="DY65"/>
  <c r="EU65"/>
  <c r="DW65"/>
  <c r="ES65"/>
  <c r="DU65"/>
  <c r="EQ65"/>
  <c r="DS65"/>
  <c r="EO65"/>
  <c r="DQ65"/>
  <c r="EZ64"/>
  <c r="EB64"/>
  <c r="EW64"/>
  <c r="DY64"/>
  <c r="EU64"/>
  <c r="DW64"/>
  <c r="ES64"/>
  <c r="DU64"/>
  <c r="EQ64"/>
  <c r="DS64"/>
  <c r="DQ64"/>
  <c r="EO64"/>
  <c r="EZ63"/>
  <c r="EB63"/>
  <c r="EW63"/>
  <c r="DY63"/>
  <c r="EU63"/>
  <c r="DW63"/>
  <c r="ES63"/>
  <c r="DU63"/>
  <c r="EQ63"/>
  <c r="DS63"/>
  <c r="EO63"/>
  <c r="DQ63"/>
  <c r="EZ62"/>
  <c r="EB62"/>
  <c r="EW62"/>
  <c r="DY62"/>
  <c r="EU62"/>
  <c r="DW62"/>
  <c r="ES62"/>
  <c r="DU62"/>
  <c r="EQ62"/>
  <c r="DS62"/>
  <c r="EO62"/>
  <c r="DQ62"/>
  <c r="EZ61"/>
  <c r="EB61"/>
  <c r="EW61"/>
  <c r="DY61"/>
  <c r="EU61"/>
  <c r="DW61"/>
  <c r="ES61"/>
  <c r="DU61"/>
  <c r="EQ61"/>
  <c r="DS61"/>
  <c r="EO61"/>
  <c r="DQ61"/>
  <c r="EZ60"/>
  <c r="EB60"/>
  <c r="EW60"/>
  <c r="DY60"/>
  <c r="EU60"/>
  <c r="DW60"/>
  <c r="ES60"/>
  <c r="DU60"/>
  <c r="EQ60"/>
  <c r="DS60"/>
  <c r="DQ60"/>
  <c r="EO60"/>
  <c r="EZ59"/>
  <c r="EB59"/>
  <c r="EW59"/>
  <c r="DY59"/>
  <c r="EU59"/>
  <c r="DW59"/>
  <c r="ES59"/>
  <c r="DU59"/>
  <c r="EQ59"/>
  <c r="DS59"/>
  <c r="EO59"/>
  <c r="DQ59"/>
  <c r="EZ57"/>
  <c r="EB57"/>
  <c r="EW57"/>
  <c r="DY57"/>
  <c r="EU57"/>
  <c r="DW57"/>
  <c r="ES57"/>
  <c r="DU57"/>
  <c r="EQ57"/>
  <c r="DS57"/>
  <c r="EO57"/>
  <c r="DQ57"/>
  <c r="EZ56"/>
  <c r="EB56"/>
  <c r="EW56"/>
  <c r="DY56"/>
  <c r="EU56"/>
  <c r="DW56"/>
  <c r="ES56"/>
  <c r="DU56"/>
  <c r="EQ56"/>
  <c r="DS56"/>
  <c r="EO56"/>
  <c r="DQ56"/>
  <c r="EZ55"/>
  <c r="EB55"/>
  <c r="EW55"/>
  <c r="DY55"/>
  <c r="EU55"/>
  <c r="DW55"/>
  <c r="ES55"/>
  <c r="DU55"/>
  <c r="EQ55"/>
  <c r="DS55"/>
  <c r="DQ55"/>
  <c r="EO55"/>
  <c r="EZ54"/>
  <c r="EB54"/>
  <c r="EW54"/>
  <c r="DY54"/>
  <c r="EU54"/>
  <c r="DW54"/>
  <c r="ES54"/>
  <c r="DU54"/>
  <c r="EQ54"/>
  <c r="DS54"/>
  <c r="EO54"/>
  <c r="DQ54"/>
  <c r="EZ53"/>
  <c r="EB53"/>
  <c r="EW53"/>
  <c r="DY53"/>
  <c r="EU53"/>
  <c r="DW53"/>
  <c r="ES53"/>
  <c r="DU53"/>
  <c r="EQ53"/>
  <c r="DS53"/>
  <c r="EO53"/>
  <c r="DQ53"/>
  <c r="EZ52"/>
  <c r="EB52"/>
  <c r="EW52"/>
  <c r="DY52"/>
  <c r="EU52"/>
  <c r="DW52"/>
  <c r="ES52"/>
  <c r="DU52"/>
  <c r="EQ52"/>
  <c r="DS52"/>
  <c r="DQ52"/>
  <c r="EO52"/>
  <c r="EX52"/>
  <c r="DZ52"/>
  <c r="EV52"/>
  <c r="DX52"/>
  <c r="ET52"/>
  <c r="DV52"/>
  <c r="ER52"/>
  <c r="DT52"/>
  <c r="EP52"/>
  <c r="DR52"/>
  <c r="EX51"/>
  <c r="DZ51"/>
  <c r="EV51"/>
  <c r="DX51"/>
  <c r="ET51"/>
  <c r="DV51"/>
  <c r="ER51"/>
  <c r="DT51"/>
  <c r="EP51"/>
  <c r="DR51"/>
  <c r="EX50"/>
  <c r="DZ50"/>
  <c r="EV50"/>
  <c r="DX50"/>
  <c r="ET50"/>
  <c r="DV50"/>
  <c r="ER50"/>
  <c r="DT50"/>
  <c r="EP50"/>
  <c r="DR50"/>
  <c r="EX49"/>
  <c r="DZ49"/>
  <c r="EV49"/>
  <c r="DX49"/>
  <c r="ET49"/>
  <c r="DV49"/>
  <c r="ER49"/>
  <c r="DT49"/>
  <c r="EP49"/>
  <c r="DR49"/>
  <c r="EX48"/>
  <c r="DZ48"/>
  <c r="EV48"/>
  <c r="DX48"/>
  <c r="ET48"/>
  <c r="DV48"/>
  <c r="ER48"/>
  <c r="DT48"/>
  <c r="EP48"/>
  <c r="DR48"/>
  <c r="EX47"/>
  <c r="DZ47"/>
  <c r="EV47"/>
  <c r="DX47"/>
  <c r="ET47"/>
  <c r="DV47"/>
  <c r="ER47"/>
  <c r="DT47"/>
  <c r="EP47"/>
  <c r="DR47"/>
  <c r="EX46"/>
  <c r="DZ46"/>
  <c r="EV46"/>
  <c r="DX46"/>
  <c r="ET46"/>
  <c r="DV46"/>
  <c r="ER46"/>
  <c r="DT46"/>
  <c r="EP46"/>
  <c r="DR46"/>
  <c r="EX45"/>
  <c r="DZ45"/>
  <c r="EV45"/>
  <c r="DX45"/>
  <c r="ET45"/>
  <c r="DV45"/>
  <c r="ER45"/>
  <c r="DT45"/>
  <c r="EP45"/>
  <c r="DR45"/>
  <c r="EX44"/>
  <c r="DZ44"/>
  <c r="EV44"/>
  <c r="DX44"/>
  <c r="ET44"/>
  <c r="DV44"/>
  <c r="ER44"/>
  <c r="DT44"/>
  <c r="EP44"/>
  <c r="DR44"/>
  <c r="EX43"/>
  <c r="DZ43"/>
  <c r="EV43"/>
  <c r="DX43"/>
  <c r="ET43"/>
  <c r="DV43"/>
  <c r="ER43"/>
  <c r="DT43"/>
  <c r="EP43"/>
  <c r="DR43"/>
  <c r="EX42"/>
  <c r="DZ42"/>
  <c r="EV42"/>
  <c r="DX42"/>
  <c r="ET42"/>
  <c r="DV42"/>
  <c r="ER42"/>
  <c r="DT42"/>
  <c r="EP42"/>
  <c r="DR42"/>
  <c r="EX41"/>
  <c r="DZ41"/>
  <c r="EV41"/>
  <c r="DX41"/>
  <c r="ET41"/>
  <c r="DV41"/>
  <c r="ER41"/>
  <c r="DT41"/>
  <c r="EP41"/>
  <c r="DR41"/>
  <c r="EX40"/>
  <c r="DZ40"/>
  <c r="EV40"/>
  <c r="DX40"/>
  <c r="ET40"/>
  <c r="DV40"/>
  <c r="ER40"/>
  <c r="DT40"/>
  <c r="EP40"/>
  <c r="DR40"/>
  <c r="EX39"/>
  <c r="DZ39"/>
  <c r="EV39"/>
  <c r="DX39"/>
  <c r="ET39"/>
  <c r="DV39"/>
  <c r="ER39"/>
  <c r="DT39"/>
  <c r="EP39"/>
  <c r="DR39"/>
  <c r="EX38"/>
  <c r="DZ38"/>
  <c r="EV38"/>
  <c r="DX38"/>
  <c r="ET38"/>
  <c r="DV38"/>
  <c r="ER38"/>
  <c r="DT38"/>
  <c r="EP38"/>
  <c r="DR38"/>
  <c r="EX37"/>
  <c r="DZ37"/>
  <c r="EV37"/>
  <c r="DX37"/>
  <c r="ET37"/>
  <c r="DV37"/>
  <c r="ER37"/>
  <c r="DT37"/>
  <c r="EP37"/>
  <c r="DR37"/>
  <c r="EX36"/>
  <c r="DZ36"/>
  <c r="EV36"/>
  <c r="DX36"/>
  <c r="ET36"/>
  <c r="DV36"/>
  <c r="ER36"/>
  <c r="DT36"/>
  <c r="EP36"/>
  <c r="DR36"/>
  <c r="EX34"/>
  <c r="DZ34"/>
  <c r="EV34"/>
  <c r="DX34"/>
  <c r="ET34"/>
  <c r="DV34"/>
  <c r="ER34"/>
  <c r="DT34"/>
  <c r="EP34"/>
  <c r="DR34"/>
  <c r="EX33"/>
  <c r="DZ33"/>
  <c r="EV33"/>
  <c r="DX33"/>
  <c r="ET33"/>
  <c r="DV33"/>
  <c r="ER33"/>
  <c r="DT33"/>
  <c r="EP33"/>
  <c r="DR33"/>
  <c r="EX32"/>
  <c r="DZ32"/>
  <c r="EV32"/>
  <c r="DX32"/>
  <c r="ET32"/>
  <c r="DV32"/>
  <c r="ER32"/>
  <c r="DT32"/>
  <c r="EP32"/>
  <c r="DR32"/>
  <c r="EX31"/>
  <c r="DZ31"/>
  <c r="DX31"/>
  <c r="EV31"/>
  <c r="ET31"/>
  <c r="DV31"/>
  <c r="ER31"/>
  <c r="DT31"/>
  <c r="EP31"/>
  <c r="DR31"/>
  <c r="EX30"/>
  <c r="DZ30"/>
  <c r="EV30"/>
  <c r="DX30"/>
  <c r="ET30"/>
  <c r="DV30"/>
  <c r="ER30"/>
  <c r="DT30"/>
  <c r="EP30"/>
  <c r="DR30"/>
  <c r="EX29"/>
  <c r="DZ29"/>
  <c r="EV29"/>
  <c r="DX29"/>
  <c r="ET29"/>
  <c r="DV29"/>
  <c r="ER29"/>
  <c r="DT29"/>
  <c r="EP29"/>
  <c r="DR29"/>
  <c r="EX27"/>
  <c r="DZ27"/>
  <c r="EV27"/>
  <c r="DX27"/>
  <c r="ET27"/>
  <c r="DV27"/>
  <c r="ER27"/>
  <c r="DT27"/>
  <c r="EP27"/>
  <c r="DR27"/>
  <c r="EX26"/>
  <c r="DZ26"/>
  <c r="EV26"/>
  <c r="DX26"/>
  <c r="ET26"/>
  <c r="DV26"/>
  <c r="ER26"/>
  <c r="DT26"/>
  <c r="EP26"/>
  <c r="DR26"/>
  <c r="EX25"/>
  <c r="DZ25"/>
  <c r="EV25"/>
  <c r="DX25"/>
  <c r="ET25"/>
  <c r="DV25"/>
  <c r="ER25"/>
  <c r="DT25"/>
  <c r="EP25"/>
  <c r="DR25"/>
  <c r="EX24"/>
  <c r="DZ24"/>
  <c r="EV24"/>
  <c r="DX24"/>
  <c r="ET24"/>
  <c r="DV24"/>
  <c r="ER24"/>
  <c r="DT24"/>
  <c r="EP24"/>
  <c r="DR24"/>
  <c r="EX23"/>
  <c r="DZ23"/>
  <c r="EV23"/>
  <c r="DX23"/>
  <c r="ET23"/>
  <c r="DV23"/>
  <c r="ER23"/>
  <c r="DT23"/>
  <c r="EP23"/>
  <c r="DR23"/>
  <c r="EX21"/>
  <c r="DZ21"/>
  <c r="EV21"/>
  <c r="DX21"/>
  <c r="ET21"/>
  <c r="DV21"/>
  <c r="ER21"/>
  <c r="DT21"/>
  <c r="EP21"/>
  <c r="DR21"/>
  <c r="EX20"/>
  <c r="DZ20"/>
  <c r="EV20"/>
  <c r="DX20"/>
  <c r="ET20"/>
  <c r="DV20"/>
  <c r="ER20"/>
  <c r="DT20"/>
  <c r="EP20"/>
  <c r="DR20"/>
  <c r="EX19"/>
  <c r="DZ19"/>
  <c r="EV19"/>
  <c r="DX19"/>
  <c r="ET19"/>
  <c r="DV19"/>
  <c r="ER19"/>
  <c r="DT19"/>
  <c r="EP19"/>
  <c r="DR19"/>
  <c r="EX17"/>
  <c r="DZ17"/>
  <c r="EV17"/>
  <c r="DX17"/>
  <c r="ET17"/>
  <c r="DV17"/>
  <c r="ER17"/>
  <c r="DT17"/>
  <c r="EP17"/>
  <c r="DR17"/>
  <c r="EX16"/>
  <c r="DZ16"/>
  <c r="EV16"/>
  <c r="DX16"/>
  <c r="ET16"/>
  <c r="DV16"/>
  <c r="ER16"/>
  <c r="DT16"/>
  <c r="EP16"/>
  <c r="DR16"/>
  <c r="EX15"/>
  <c r="DZ15"/>
  <c r="EV15"/>
  <c r="DX15"/>
  <c r="ET15"/>
  <c r="DV15"/>
  <c r="ER15"/>
  <c r="DT15"/>
  <c r="EP15"/>
  <c r="DR15"/>
  <c r="EX14"/>
  <c r="DZ14"/>
  <c r="EV14"/>
  <c r="DX14"/>
  <c r="ET14"/>
  <c r="DV14"/>
  <c r="ER14"/>
  <c r="DT14"/>
  <c r="EP14"/>
  <c r="DR14"/>
  <c r="EX12"/>
  <c r="DZ12"/>
  <c r="EV12"/>
  <c r="DX12"/>
  <c r="ET12"/>
  <c r="DV12"/>
  <c r="ER12"/>
  <c r="DT12"/>
  <c r="EP12"/>
  <c r="DR12"/>
  <c r="EX11"/>
  <c r="DZ11"/>
  <c r="EV11"/>
  <c r="DX11"/>
  <c r="ET11"/>
  <c r="DV11"/>
  <c r="ER11"/>
  <c r="DT11"/>
  <c r="EP11"/>
  <c r="DR11"/>
  <c r="EX10"/>
  <c r="DZ10"/>
  <c r="EV10"/>
  <c r="DX10"/>
  <c r="ET10"/>
  <c r="DV10"/>
  <c r="ER10"/>
  <c r="DT10"/>
  <c r="EP10"/>
  <c r="DR10"/>
  <c r="EX9"/>
  <c r="DZ9"/>
  <c r="EV9"/>
  <c r="DX9"/>
  <c r="ET9"/>
  <c r="DV9"/>
  <c r="ER9"/>
  <c r="DT9"/>
  <c r="EP9"/>
  <c r="DR9"/>
  <c r="EX8"/>
  <c r="DZ8"/>
  <c r="EV8"/>
  <c r="DX8"/>
  <c r="ET8"/>
  <c r="DV8"/>
  <c r="ER8"/>
  <c r="DT8"/>
  <c r="EP8"/>
  <c r="DR8"/>
  <c r="EX7"/>
  <c r="DZ7"/>
  <c r="EV7"/>
  <c r="DX7"/>
  <c r="ET7"/>
  <c r="DV7"/>
  <c r="ER7"/>
  <c r="DT7"/>
  <c r="EP7"/>
  <c r="DR7"/>
  <c r="FB6"/>
  <c r="ED6"/>
  <c r="FJ6"/>
  <c r="EL6"/>
  <c r="FH6"/>
  <c r="EJ6"/>
  <c r="FF6"/>
  <c r="EH6"/>
  <c r="FD6"/>
  <c r="EF6"/>
  <c r="FK74"/>
  <c r="EM74"/>
  <c r="FI74"/>
  <c r="EK74"/>
  <c r="FG74"/>
  <c r="EI74"/>
  <c r="FE74"/>
  <c r="EG74"/>
  <c r="FC74"/>
  <c r="EE74"/>
  <c r="FK73"/>
  <c r="EM73"/>
  <c r="FI73"/>
  <c r="EK73"/>
  <c r="FG73"/>
  <c r="EI73"/>
  <c r="FE73"/>
  <c r="EG73"/>
  <c r="FC73"/>
  <c r="EE73"/>
  <c r="FK72"/>
  <c r="EM72"/>
  <c r="FI72"/>
  <c r="EK72"/>
  <c r="FG72"/>
  <c r="EI72"/>
  <c r="FE72"/>
  <c r="EG72"/>
  <c r="FC72"/>
  <c r="EE72"/>
  <c r="FK71"/>
  <c r="EM71"/>
  <c r="FI71"/>
  <c r="EK71"/>
  <c r="FG71"/>
  <c r="EI71"/>
  <c r="FE71"/>
  <c r="EG71"/>
  <c r="FC71"/>
  <c r="EE71"/>
  <c r="FK84"/>
  <c r="EM84"/>
  <c r="FI84"/>
  <c r="EK84"/>
  <c r="FG84"/>
  <c r="EI84"/>
  <c r="FE84"/>
  <c r="EG84"/>
  <c r="FC84"/>
  <c r="EE84"/>
  <c r="FK83"/>
  <c r="EM83"/>
  <c r="FI83"/>
  <c r="EK83"/>
  <c r="FG83"/>
  <c r="EI83"/>
  <c r="FE83"/>
  <c r="EG83"/>
  <c r="FC83"/>
  <c r="EE83"/>
  <c r="FK82"/>
  <c r="EM82"/>
  <c r="FI82"/>
  <c r="EK82"/>
  <c r="FG82"/>
  <c r="EI82"/>
  <c r="FE82"/>
  <c r="EG82"/>
  <c r="FC82"/>
  <c r="EE82"/>
  <c r="FK81"/>
  <c r="EM81"/>
  <c r="FI81"/>
  <c r="EK81"/>
  <c r="FG81"/>
  <c r="EI81"/>
  <c r="FE81"/>
  <c r="EG81"/>
  <c r="FC81"/>
  <c r="EE81"/>
  <c r="FK80"/>
  <c r="EM80"/>
  <c r="FI80"/>
  <c r="EK80"/>
  <c r="FG80"/>
  <c r="EI80"/>
  <c r="FE80"/>
  <c r="EG80"/>
  <c r="FC80"/>
  <c r="EE80"/>
  <c r="FK79"/>
  <c r="EM79"/>
  <c r="FI79"/>
  <c r="EK79"/>
  <c r="FG79"/>
  <c r="EI79"/>
  <c r="FE79"/>
  <c r="EG79"/>
  <c r="FC79"/>
  <c r="EE79"/>
  <c r="FK78"/>
  <c r="EM78"/>
  <c r="FI78"/>
  <c r="EK78"/>
  <c r="FG78"/>
  <c r="EI78"/>
  <c r="FE78"/>
  <c r="EG78"/>
  <c r="FC78"/>
  <c r="EE78"/>
  <c r="FK77"/>
  <c r="EM77"/>
  <c r="FI77"/>
  <c r="EK77"/>
  <c r="FG77"/>
  <c r="EI77"/>
  <c r="FE77"/>
  <c r="EG77"/>
  <c r="FC77"/>
  <c r="EE77"/>
  <c r="FK76"/>
  <c r="EM76"/>
  <c r="FI76"/>
  <c r="EK76"/>
  <c r="FG76"/>
  <c r="EI76"/>
  <c r="FE76"/>
  <c r="EG76"/>
  <c r="FC76"/>
  <c r="EE76"/>
  <c r="FK75"/>
  <c r="EM75"/>
  <c r="FI75"/>
  <c r="EK75"/>
  <c r="FG75"/>
  <c r="EI75"/>
  <c r="FE75"/>
  <c r="EG75"/>
  <c r="FC75"/>
  <c r="EE75"/>
  <c r="FK70"/>
  <c r="EM70"/>
  <c r="FI70"/>
  <c r="EK70"/>
  <c r="FG70"/>
  <c r="EI70"/>
  <c r="FE70"/>
  <c r="EG70"/>
  <c r="FC70"/>
  <c r="EE70"/>
  <c r="FK69"/>
  <c r="EM69"/>
  <c r="FI69"/>
  <c r="EK69"/>
  <c r="FG69"/>
  <c r="EI69"/>
  <c r="FE69"/>
  <c r="EG69"/>
  <c r="FC69"/>
  <c r="EE69"/>
  <c r="FK68"/>
  <c r="EM68"/>
  <c r="FI68"/>
  <c r="EK68"/>
  <c r="FG68"/>
  <c r="EI68"/>
  <c r="FE68"/>
  <c r="EG68"/>
  <c r="FC68"/>
  <c r="EE68"/>
  <c r="FK67"/>
  <c r="EM67"/>
  <c r="FI67"/>
  <c r="EK67"/>
  <c r="FG67"/>
  <c r="EI67"/>
  <c r="FE67"/>
  <c r="EG67"/>
  <c r="FC67"/>
  <c r="EE67"/>
  <c r="FK66"/>
  <c r="EM66"/>
  <c r="FI66"/>
  <c r="EK66"/>
  <c r="FG66"/>
  <c r="EI66"/>
  <c r="FE66"/>
  <c r="EG66"/>
  <c r="FC66"/>
  <c r="EE66"/>
  <c r="FK64"/>
  <c r="EM64"/>
  <c r="FI64"/>
  <c r="EK64"/>
  <c r="FG64"/>
  <c r="EI64"/>
  <c r="FE64"/>
  <c r="EG64"/>
  <c r="FC64"/>
  <c r="EE64"/>
  <c r="FK63"/>
  <c r="EM63"/>
  <c r="FI63"/>
  <c r="EK63"/>
  <c r="FG63"/>
  <c r="EI63"/>
  <c r="FE63"/>
  <c r="EG63"/>
  <c r="FC63"/>
  <c r="EE63"/>
  <c r="FK62"/>
  <c r="EM62"/>
  <c r="FI62"/>
  <c r="EK62"/>
  <c r="FG62"/>
  <c r="EI62"/>
  <c r="FE62"/>
  <c r="EG62"/>
  <c r="FC62"/>
  <c r="EE62"/>
  <c r="FK61"/>
  <c r="EM61"/>
  <c r="FI61"/>
  <c r="EK61"/>
  <c r="FG61"/>
  <c r="EI61"/>
  <c r="FE61"/>
  <c r="EG61"/>
  <c r="EZ51"/>
  <c r="EB51"/>
  <c r="EW51"/>
  <c r="DY51"/>
  <c r="EU51"/>
  <c r="DW51"/>
  <c r="ES51"/>
  <c r="DU51"/>
  <c r="EQ51"/>
  <c r="DS51"/>
  <c r="EO51"/>
  <c r="DQ51"/>
  <c r="EZ50"/>
  <c r="EB50"/>
  <c r="EW50"/>
  <c r="DY50"/>
  <c r="EU50"/>
  <c r="DW50"/>
  <c r="ES50"/>
  <c r="DU50"/>
  <c r="EQ50"/>
  <c r="DS50"/>
  <c r="EO50"/>
  <c r="DQ50"/>
  <c r="EZ49"/>
  <c r="EB49"/>
  <c r="EW49"/>
  <c r="DY49"/>
  <c r="EU49"/>
  <c r="DW49"/>
  <c r="ES49"/>
  <c r="DU49"/>
  <c r="EQ49"/>
  <c r="DS49"/>
  <c r="EO49"/>
  <c r="DQ49"/>
  <c r="EZ48"/>
  <c r="EB48"/>
  <c r="EW48"/>
  <c r="DY48"/>
  <c r="EU48"/>
  <c r="DW48"/>
  <c r="ES48"/>
  <c r="DU48"/>
  <c r="EQ48"/>
  <c r="DS48"/>
  <c r="DQ48"/>
  <c r="EO48"/>
  <c r="EZ47"/>
  <c r="EB47"/>
  <c r="EW47"/>
  <c r="DY47"/>
  <c r="EU47"/>
  <c r="DW47"/>
  <c r="ES47"/>
  <c r="DU47"/>
  <c r="EQ47"/>
  <c r="DS47"/>
  <c r="EO47"/>
  <c r="DQ47"/>
  <c r="EZ46"/>
  <c r="EB46"/>
  <c r="EW46"/>
  <c r="DY46"/>
  <c r="EU46"/>
  <c r="DW46"/>
  <c r="ES46"/>
  <c r="DU46"/>
  <c r="EQ46"/>
  <c r="DS46"/>
  <c r="EO46"/>
  <c r="DQ46"/>
  <c r="EZ45"/>
  <c r="EB45"/>
  <c r="EW45"/>
  <c r="DY45"/>
  <c r="EU45"/>
  <c r="DW45"/>
  <c r="ES45"/>
  <c r="DU45"/>
  <c r="EQ45"/>
  <c r="DS45"/>
  <c r="DQ45"/>
  <c r="EO45"/>
  <c r="EZ44"/>
  <c r="EB44"/>
  <c r="EW44"/>
  <c r="DY44"/>
  <c r="EU44"/>
  <c r="DW44"/>
  <c r="ES44"/>
  <c r="DU44"/>
  <c r="EQ44"/>
  <c r="DS44"/>
  <c r="EO44"/>
  <c r="DQ44"/>
  <c r="EZ43"/>
  <c r="EB43"/>
  <c r="EW43"/>
  <c r="DY43"/>
  <c r="EU43"/>
  <c r="DW43"/>
  <c r="ES43"/>
  <c r="DU43"/>
  <c r="EQ43"/>
  <c r="DS43"/>
  <c r="EO43"/>
  <c r="DQ43"/>
  <c r="EZ42"/>
  <c r="EB42"/>
  <c r="EW42"/>
  <c r="DY42"/>
  <c r="EU42"/>
  <c r="DW42"/>
  <c r="ES42"/>
  <c r="DU42"/>
  <c r="EQ42"/>
  <c r="DS42"/>
  <c r="DQ42"/>
  <c r="EO42"/>
  <c r="EZ41"/>
  <c r="EB41"/>
  <c r="EW41"/>
  <c r="DY41"/>
  <c r="EU41"/>
  <c r="DW41"/>
  <c r="ES41"/>
  <c r="DU41"/>
  <c r="EQ41"/>
  <c r="DS41"/>
  <c r="EO41"/>
  <c r="DQ41"/>
  <c r="EZ40"/>
  <c r="EB40"/>
  <c r="EW40"/>
  <c r="DY40"/>
  <c r="EU40"/>
  <c r="DW40"/>
  <c r="ES40"/>
  <c r="DU40"/>
  <c r="EQ40"/>
  <c r="DS40"/>
  <c r="EO40"/>
  <c r="DQ40"/>
  <c r="EZ39"/>
  <c r="EB39"/>
  <c r="EW39"/>
  <c r="DY39"/>
  <c r="EU39"/>
  <c r="DW39"/>
  <c r="ES39"/>
  <c r="DU39"/>
  <c r="EQ39"/>
  <c r="DS39"/>
  <c r="EO39"/>
  <c r="DQ39"/>
  <c r="EZ38"/>
  <c r="EB38"/>
  <c r="EW38"/>
  <c r="DY38"/>
  <c r="EU38"/>
  <c r="DW38"/>
  <c r="ES38"/>
  <c r="DU38"/>
  <c r="EQ38"/>
  <c r="DS38"/>
  <c r="EO38"/>
  <c r="DQ38"/>
  <c r="EZ37"/>
  <c r="EB37"/>
  <c r="EW37"/>
  <c r="DY37"/>
  <c r="EU37"/>
  <c r="DW37"/>
  <c r="ES37"/>
  <c r="DU37"/>
  <c r="EQ37"/>
  <c r="DS37"/>
  <c r="EO37"/>
  <c r="DQ37"/>
  <c r="EZ36"/>
  <c r="EB36"/>
  <c r="EW36"/>
  <c r="DY36"/>
  <c r="EU36"/>
  <c r="DW36"/>
  <c r="ES36"/>
  <c r="DU36"/>
  <c r="EQ36"/>
  <c r="DS36"/>
  <c r="EO36"/>
  <c r="DQ36"/>
  <c r="EZ34"/>
  <c r="EB34"/>
  <c r="EW34"/>
  <c r="DY34"/>
  <c r="EU34"/>
  <c r="DW34"/>
  <c r="ES34"/>
  <c r="DU34"/>
  <c r="EQ34"/>
  <c r="DS34"/>
  <c r="EO34"/>
  <c r="DQ34"/>
  <c r="EZ33"/>
  <c r="EB33"/>
  <c r="EW33"/>
  <c r="DY33"/>
  <c r="EU33"/>
  <c r="DW33"/>
  <c r="ES33"/>
  <c r="DU33"/>
  <c r="EQ33"/>
  <c r="DS33"/>
  <c r="DQ33"/>
  <c r="EO33"/>
  <c r="EZ32"/>
  <c r="EB32"/>
  <c r="EW32"/>
  <c r="DY32"/>
  <c r="EU32"/>
  <c r="DW32"/>
  <c r="ES32"/>
  <c r="DU32"/>
  <c r="EQ32"/>
  <c r="DS32"/>
  <c r="EO32"/>
  <c r="DQ32"/>
  <c r="EZ31"/>
  <c r="EB31"/>
  <c r="EW31"/>
  <c r="DY31"/>
  <c r="EU31"/>
  <c r="DW31"/>
  <c r="ES31"/>
  <c r="DU31"/>
  <c r="EQ31"/>
  <c r="DS31"/>
  <c r="EO31"/>
  <c r="DQ31"/>
  <c r="EZ30"/>
  <c r="EB30"/>
  <c r="EW30"/>
  <c r="DY30"/>
  <c r="EU30"/>
  <c r="DW30"/>
  <c r="ES30"/>
  <c r="DU30"/>
  <c r="EQ30"/>
  <c r="DS30"/>
  <c r="EO30"/>
  <c r="DQ30"/>
  <c r="EZ29"/>
  <c r="EB29"/>
  <c r="EW29"/>
  <c r="DY29"/>
  <c r="EU29"/>
  <c r="DW29"/>
  <c r="ES29"/>
  <c r="DU29"/>
  <c r="EQ29"/>
  <c r="DS29"/>
  <c r="DQ29"/>
  <c r="EO29"/>
  <c r="EZ27"/>
  <c r="EB27"/>
  <c r="EW27"/>
  <c r="DY27"/>
  <c r="EU27"/>
  <c r="DW27"/>
  <c r="ES27"/>
  <c r="DU27"/>
  <c r="EQ27"/>
  <c r="DS27"/>
  <c r="EO27"/>
  <c r="DQ27"/>
  <c r="EZ26"/>
  <c r="EB26"/>
  <c r="EW26"/>
  <c r="DY26"/>
  <c r="EU26"/>
  <c r="DW26"/>
  <c r="ES26"/>
  <c r="DU26"/>
  <c r="EQ26"/>
  <c r="DS26"/>
  <c r="DQ26"/>
  <c r="EO26"/>
  <c r="EZ25"/>
  <c r="EB25"/>
  <c r="EW25"/>
  <c r="DY25"/>
  <c r="EU25"/>
  <c r="DW25"/>
  <c r="ES25"/>
  <c r="DU25"/>
  <c r="EQ25"/>
  <c r="DS25"/>
  <c r="EO25"/>
  <c r="DQ25"/>
  <c r="EZ24"/>
  <c r="EB24"/>
  <c r="EW24"/>
  <c r="DY24"/>
  <c r="EU24"/>
  <c r="DW24"/>
  <c r="ES24"/>
  <c r="DU24"/>
  <c r="EQ24"/>
  <c r="DS24"/>
  <c r="DQ24"/>
  <c r="EO24"/>
  <c r="EZ23"/>
  <c r="EB23"/>
  <c r="EW23"/>
  <c r="DY23"/>
  <c r="EU23"/>
  <c r="DW23"/>
  <c r="ES23"/>
  <c r="DU23"/>
  <c r="EQ23"/>
  <c r="DS23"/>
  <c r="EO23"/>
  <c r="DQ23"/>
  <c r="EZ21"/>
  <c r="EB21"/>
  <c r="EW21"/>
  <c r="DY21"/>
  <c r="EU21"/>
  <c r="DW21"/>
  <c r="ES21"/>
  <c r="DU21"/>
  <c r="EQ21"/>
  <c r="DS21"/>
  <c r="EO21"/>
  <c r="DQ21"/>
  <c r="EZ20"/>
  <c r="EB20"/>
  <c r="EW20"/>
  <c r="DY20"/>
  <c r="EU20"/>
  <c r="DW20"/>
  <c r="ES20"/>
  <c r="DU20"/>
  <c r="EQ20"/>
  <c r="DS20"/>
  <c r="DQ20"/>
  <c r="EO20"/>
  <c r="EZ19"/>
  <c r="EB19"/>
  <c r="EW19"/>
  <c r="DY19"/>
  <c r="EU19"/>
  <c r="DW19"/>
  <c r="ES19"/>
  <c r="DU19"/>
  <c r="EQ19"/>
  <c r="DS19"/>
  <c r="EO19"/>
  <c r="DQ19"/>
  <c r="EZ17"/>
  <c r="EB17"/>
  <c r="EW17"/>
  <c r="DY17"/>
  <c r="EU17"/>
  <c r="DW17"/>
  <c r="ES17"/>
  <c r="DU17"/>
  <c r="EQ17"/>
  <c r="DS17"/>
  <c r="EO17"/>
  <c r="DQ17"/>
  <c r="EZ16"/>
  <c r="EB16"/>
  <c r="EW16"/>
  <c r="DY16"/>
  <c r="EU16"/>
  <c r="DW16"/>
  <c r="ES16"/>
  <c r="DU16"/>
  <c r="EQ16"/>
  <c r="DS16"/>
  <c r="DQ16"/>
  <c r="EO16"/>
  <c r="EZ15"/>
  <c r="EB15"/>
  <c r="EW15"/>
  <c r="DY15"/>
  <c r="EU15"/>
  <c r="DW15"/>
  <c r="ES15"/>
  <c r="DU15"/>
  <c r="EQ15"/>
  <c r="DS15"/>
  <c r="EO15"/>
  <c r="DQ15"/>
  <c r="EZ14"/>
  <c r="EB14"/>
  <c r="EW14"/>
  <c r="DY14"/>
  <c r="EU14"/>
  <c r="DW14"/>
  <c r="ES14"/>
  <c r="DU14"/>
  <c r="EQ14"/>
  <c r="DS14"/>
  <c r="EO14"/>
  <c r="DQ14"/>
  <c r="EZ12"/>
  <c r="EB12"/>
  <c r="EW12"/>
  <c r="DY12"/>
  <c r="EU12"/>
  <c r="DW12"/>
  <c r="ES12"/>
  <c r="DU12"/>
  <c r="EQ12"/>
  <c r="DS12"/>
  <c r="EO12"/>
  <c r="DQ12"/>
  <c r="EZ11"/>
  <c r="EB11"/>
  <c r="EW11"/>
  <c r="DY11"/>
  <c r="EU11"/>
  <c r="DW11"/>
  <c r="ES11"/>
  <c r="DU11"/>
  <c r="EQ11"/>
  <c r="DS11"/>
  <c r="EO11"/>
  <c r="DQ11"/>
  <c r="EZ10"/>
  <c r="EB10"/>
  <c r="EW10"/>
  <c r="DY10"/>
  <c r="EU10"/>
  <c r="DW10"/>
  <c r="ES10"/>
  <c r="DU10"/>
  <c r="EQ10"/>
  <c r="DS10"/>
  <c r="EO10"/>
  <c r="DQ10"/>
  <c r="EZ9"/>
  <c r="EB9"/>
  <c r="EW9"/>
  <c r="DY9"/>
  <c r="EU9"/>
  <c r="DW9"/>
  <c r="ES9"/>
  <c r="DU9"/>
  <c r="EQ9"/>
  <c r="DS9"/>
  <c r="EO9"/>
  <c r="DQ9"/>
  <c r="EZ8"/>
  <c r="EB8"/>
  <c r="EW8"/>
  <c r="DY8"/>
  <c r="EU8"/>
  <c r="DW8"/>
  <c r="ES8"/>
  <c r="DU8"/>
  <c r="EQ8"/>
  <c r="DS8"/>
  <c r="EO8"/>
  <c r="DQ8"/>
  <c r="EZ7"/>
  <c r="EB7"/>
  <c r="EW7"/>
  <c r="DY7"/>
  <c r="EU7"/>
  <c r="DW7"/>
  <c r="ES7"/>
  <c r="DU7"/>
  <c r="EQ7"/>
  <c r="DS7"/>
  <c r="EO7"/>
  <c r="DQ7"/>
  <c r="FK6"/>
  <c r="EM6"/>
  <c r="FI6"/>
  <c r="EK6"/>
  <c r="FG6"/>
  <c r="EI6"/>
  <c r="FE6"/>
  <c r="EG6"/>
  <c r="FC6"/>
  <c r="EE6"/>
  <c r="FJ74"/>
  <c r="EL74"/>
  <c r="FH74"/>
  <c r="EJ74"/>
  <c r="FF74"/>
  <c r="EH74"/>
  <c r="FD74"/>
  <c r="EF74"/>
  <c r="FB74"/>
  <c r="ED74"/>
  <c r="FJ73"/>
  <c r="EL73"/>
  <c r="FH73"/>
  <c r="EJ73"/>
  <c r="FF73"/>
  <c r="EH73"/>
  <c r="FD73"/>
  <c r="EF73"/>
  <c r="FB73"/>
  <c r="ED73"/>
  <c r="FJ72"/>
  <c r="EL72"/>
  <c r="FH72"/>
  <c r="EJ72"/>
  <c r="FF72"/>
  <c r="EH72"/>
  <c r="FD72"/>
  <c r="EF72"/>
  <c r="FB72"/>
  <c r="ED72"/>
  <c r="FJ71"/>
  <c r="EL71"/>
  <c r="FH71"/>
  <c r="EJ71"/>
  <c r="FF71"/>
  <c r="EH71"/>
  <c r="FD71"/>
  <c r="EF71"/>
  <c r="FB71"/>
  <c r="ED71"/>
  <c r="FJ84"/>
  <c r="EL84"/>
  <c r="FH84"/>
  <c r="EJ84"/>
  <c r="FF84"/>
  <c r="EH84"/>
  <c r="FD84"/>
  <c r="EF84"/>
  <c r="FB84"/>
  <c r="ED84"/>
  <c r="FJ83"/>
  <c r="EL83"/>
  <c r="FH83"/>
  <c r="EJ83"/>
  <c r="FF83"/>
  <c r="EH83"/>
  <c r="FD83"/>
  <c r="EF83"/>
  <c r="FB83"/>
  <c r="ED83"/>
  <c r="FJ82"/>
  <c r="EL82"/>
  <c r="FH82"/>
  <c r="EJ82"/>
  <c r="FF82"/>
  <c r="EH82"/>
  <c r="FD82"/>
  <c r="EF82"/>
  <c r="FB82"/>
  <c r="ED82"/>
  <c r="FJ81"/>
  <c r="EL81"/>
  <c r="FH81"/>
  <c r="EJ81"/>
  <c r="FF81"/>
  <c r="EH81"/>
  <c r="FD81"/>
  <c r="EF81"/>
  <c r="FB81"/>
  <c r="ED81"/>
  <c r="FJ80"/>
  <c r="EL80"/>
  <c r="FH80"/>
  <c r="EJ80"/>
  <c r="FF80"/>
  <c r="EH80"/>
  <c r="FD80"/>
  <c r="EF80"/>
  <c r="FB80"/>
  <c r="ED80"/>
  <c r="FJ79"/>
  <c r="EL79"/>
  <c r="FH79"/>
  <c r="EJ79"/>
  <c r="FF79"/>
  <c r="EH79"/>
  <c r="FD79"/>
  <c r="EF79"/>
  <c r="FB79"/>
  <c r="ED79"/>
  <c r="FJ78"/>
  <c r="EL78"/>
  <c r="FH78"/>
  <c r="EJ78"/>
  <c r="FF78"/>
  <c r="EH78"/>
  <c r="FD78"/>
  <c r="EF78"/>
  <c r="FB78"/>
  <c r="ED78"/>
  <c r="FJ77"/>
  <c r="EL77"/>
  <c r="FH77"/>
  <c r="EJ77"/>
  <c r="FF77"/>
  <c r="EH77"/>
  <c r="FD77"/>
  <c r="EF77"/>
  <c r="FB77"/>
  <c r="ED77"/>
  <c r="FJ76"/>
  <c r="EL76"/>
  <c r="FH76"/>
  <c r="EJ76"/>
  <c r="FF76"/>
  <c r="EH76"/>
  <c r="FD76"/>
  <c r="EF76"/>
  <c r="FB76"/>
  <c r="ED76"/>
  <c r="FJ75"/>
  <c r="EL75"/>
  <c r="FH75"/>
  <c r="EJ75"/>
  <c r="FF75"/>
  <c r="EH75"/>
  <c r="FD75"/>
  <c r="EF75"/>
  <c r="FB75"/>
  <c r="ED75"/>
  <c r="FJ70"/>
  <c r="EL70"/>
  <c r="FH70"/>
  <c r="EJ70"/>
  <c r="FF70"/>
  <c r="EH70"/>
  <c r="FD70"/>
  <c r="EF70"/>
  <c r="FB70"/>
  <c r="ED70"/>
  <c r="FJ69"/>
  <c r="EL69"/>
  <c r="FH69"/>
  <c r="EJ69"/>
  <c r="FF69"/>
  <c r="EH69"/>
  <c r="FD69"/>
  <c r="EF69"/>
  <c r="FB69"/>
  <c r="ED69"/>
  <c r="FJ68"/>
  <c r="EL68"/>
  <c r="FH68"/>
  <c r="EJ68"/>
  <c r="FF68"/>
  <c r="EH68"/>
  <c r="FD68"/>
  <c r="EF68"/>
  <c r="FB68"/>
  <c r="ED68"/>
  <c r="FJ67"/>
  <c r="EL67"/>
  <c r="FH67"/>
  <c r="EJ67"/>
  <c r="FF67"/>
  <c r="EH67"/>
  <c r="FD67"/>
  <c r="EF67"/>
  <c r="FB67"/>
  <c r="ED67"/>
  <c r="FJ66"/>
  <c r="EL66"/>
  <c r="FH66"/>
  <c r="EJ66"/>
  <c r="FF66"/>
  <c r="EH66"/>
  <c r="FD66"/>
  <c r="EF66"/>
  <c r="FB66"/>
  <c r="ED66"/>
  <c r="FJ64"/>
  <c r="EL64"/>
  <c r="FH64"/>
  <c r="EJ64"/>
  <c r="FF64"/>
  <c r="EH64"/>
  <c r="FD64"/>
  <c r="EF64"/>
  <c r="FB64"/>
  <c r="ED64"/>
  <c r="FJ63"/>
  <c r="EL63"/>
  <c r="FH63"/>
  <c r="EJ63"/>
  <c r="FF63"/>
  <c r="EH63"/>
  <c r="FD63"/>
  <c r="EF63"/>
  <c r="FB63"/>
  <c r="ED63"/>
  <c r="FJ62"/>
  <c r="EL62"/>
  <c r="FH62"/>
  <c r="EJ62"/>
  <c r="FF62"/>
  <c r="EH62"/>
  <c r="FD62"/>
  <c r="EF62"/>
  <c r="FB62"/>
  <c r="ED62"/>
  <c r="FJ61"/>
  <c r="EL61"/>
  <c r="FH61"/>
  <c r="EJ61"/>
  <c r="FF61"/>
  <c r="EH61"/>
  <c r="FD61"/>
  <c r="EF61"/>
  <c r="FC61"/>
  <c r="EE61"/>
  <c r="FK60"/>
  <c r="EM60"/>
  <c r="FI60"/>
  <c r="EK60"/>
  <c r="FG60"/>
  <c r="EI60"/>
  <c r="FE60"/>
  <c r="EG60"/>
  <c r="FC60"/>
  <c r="EE60"/>
  <c r="FK59"/>
  <c r="EM59"/>
  <c r="FI59"/>
  <c r="EK59"/>
  <c r="FG59"/>
  <c r="EI59"/>
  <c r="FE59"/>
  <c r="EG59"/>
  <c r="FC59"/>
  <c r="EE59"/>
  <c r="FK57"/>
  <c r="EM57"/>
  <c r="FI57"/>
  <c r="EK57"/>
  <c r="FG57"/>
  <c r="EI57"/>
  <c r="FE57"/>
  <c r="EG57"/>
  <c r="FC57"/>
  <c r="EE57"/>
  <c r="FK56"/>
  <c r="EM56"/>
  <c r="FI56"/>
  <c r="EK56"/>
  <c r="FG56"/>
  <c r="EI56"/>
  <c r="FE56"/>
  <c r="EG56"/>
  <c r="FC56"/>
  <c r="EE56"/>
  <c r="FK55"/>
  <c r="EM55"/>
  <c r="FI55"/>
  <c r="EK55"/>
  <c r="FG55"/>
  <c r="EI55"/>
  <c r="FE55"/>
  <c r="EG55"/>
  <c r="FC55"/>
  <c r="EE55"/>
  <c r="FK54"/>
  <c r="EM54"/>
  <c r="FI54"/>
  <c r="EK54"/>
  <c r="FG54"/>
  <c r="EI54"/>
  <c r="FE54"/>
  <c r="EG54"/>
  <c r="FC54"/>
  <c r="EE54"/>
  <c r="FK53"/>
  <c r="EM53"/>
  <c r="FI53"/>
  <c r="EK53"/>
  <c r="FG53"/>
  <c r="EI53"/>
  <c r="FE53"/>
  <c r="EG53"/>
  <c r="FC53"/>
  <c r="EE53"/>
  <c r="FK52"/>
  <c r="EM52"/>
  <c r="FI52"/>
  <c r="EK52"/>
  <c r="FG52"/>
  <c r="EI52"/>
  <c r="FE52"/>
  <c r="EG52"/>
  <c r="FC52"/>
  <c r="EE52"/>
  <c r="FK51"/>
  <c r="EM51"/>
  <c r="FI51"/>
  <c r="EK51"/>
  <c r="FG51"/>
  <c r="EI51"/>
  <c r="FE51"/>
  <c r="EG51"/>
  <c r="FC51"/>
  <c r="EE51"/>
  <c r="FK50"/>
  <c r="EM50"/>
  <c r="FI50"/>
  <c r="EK50"/>
  <c r="FG50"/>
  <c r="EI50"/>
  <c r="FE50"/>
  <c r="EG50"/>
  <c r="FC50"/>
  <c r="EE50"/>
  <c r="FK49"/>
  <c r="EM49"/>
  <c r="FI49"/>
  <c r="EK49"/>
  <c r="FG49"/>
  <c r="EI49"/>
  <c r="FE49"/>
  <c r="EG49"/>
  <c r="FC49"/>
  <c r="EE49"/>
  <c r="FK48"/>
  <c r="EM48"/>
  <c r="FI48"/>
  <c r="EK48"/>
  <c r="FG48"/>
  <c r="EI48"/>
  <c r="FE48"/>
  <c r="EG48"/>
  <c r="FC48"/>
  <c r="EE48"/>
  <c r="FK47"/>
  <c r="EM47"/>
  <c r="FI47"/>
  <c r="EK47"/>
  <c r="FG47"/>
  <c r="EI47"/>
  <c r="FE47"/>
  <c r="EG47"/>
  <c r="FC47"/>
  <c r="EE47"/>
  <c r="FK46"/>
  <c r="EM46"/>
  <c r="FI46"/>
  <c r="EK46"/>
  <c r="FG46"/>
  <c r="EI46"/>
  <c r="FE46"/>
  <c r="EG46"/>
  <c r="FC46"/>
  <c r="EE46"/>
  <c r="FK45"/>
  <c r="EM45"/>
  <c r="FI45"/>
  <c r="EK45"/>
  <c r="FG45"/>
  <c r="EI45"/>
  <c r="FE45"/>
  <c r="EG45"/>
  <c r="FC45"/>
  <c r="EE45"/>
  <c r="FK44"/>
  <c r="EM44"/>
  <c r="FI44"/>
  <c r="EK44"/>
  <c r="FG44"/>
  <c r="EI44"/>
  <c r="FE44"/>
  <c r="EG44"/>
  <c r="FC44"/>
  <c r="EE44"/>
  <c r="FK43"/>
  <c r="EM43"/>
  <c r="FI43"/>
  <c r="EK43"/>
  <c r="FG43"/>
  <c r="EI43"/>
  <c r="FE43"/>
  <c r="EG43"/>
  <c r="FC43"/>
  <c r="EE43"/>
  <c r="FK42"/>
  <c r="EM42"/>
  <c r="FI42"/>
  <c r="EK42"/>
  <c r="FG42"/>
  <c r="EI42"/>
  <c r="FE42"/>
  <c r="EG42"/>
  <c r="FC42"/>
  <c r="EE42"/>
  <c r="FK41"/>
  <c r="EM41"/>
  <c r="FI41"/>
  <c r="EK41"/>
  <c r="FG41"/>
  <c r="EI41"/>
  <c r="FE41"/>
  <c r="EG41"/>
  <c r="FC41"/>
  <c r="EE41"/>
  <c r="FK40"/>
  <c r="EM40"/>
  <c r="FI40"/>
  <c r="EK40"/>
  <c r="FG40"/>
  <c r="EI40"/>
  <c r="FE40"/>
  <c r="EG40"/>
  <c r="FC40"/>
  <c r="EE40"/>
  <c r="FK39"/>
  <c r="EM39"/>
  <c r="FI39"/>
  <c r="EK39"/>
  <c r="FG39"/>
  <c r="EI39"/>
  <c r="FE39"/>
  <c r="EG39"/>
  <c r="FC39"/>
  <c r="EE39"/>
  <c r="FK38"/>
  <c r="EM38"/>
  <c r="FI38"/>
  <c r="EK38"/>
  <c r="FG38"/>
  <c r="EI38"/>
  <c r="FE38"/>
  <c r="EG38"/>
  <c r="FC38"/>
  <c r="EE38"/>
  <c r="FK37"/>
  <c r="EM37"/>
  <c r="FI37"/>
  <c r="EK37"/>
  <c r="FG37"/>
  <c r="EI37"/>
  <c r="FE37"/>
  <c r="EG37"/>
  <c r="FC37"/>
  <c r="EE37"/>
  <c r="FK36"/>
  <c r="EM36"/>
  <c r="FH36"/>
  <c r="EJ36"/>
  <c r="FF36"/>
  <c r="EH36"/>
  <c r="FD36"/>
  <c r="EF36"/>
  <c r="FB36"/>
  <c r="ED36"/>
  <c r="FJ34"/>
  <c r="EL34"/>
  <c r="FH34"/>
  <c r="EJ34"/>
  <c r="FF34"/>
  <c r="EH34"/>
  <c r="FD34"/>
  <c r="EF34"/>
  <c r="FB34"/>
  <c r="ED34"/>
  <c r="FJ33"/>
  <c r="EL33"/>
  <c r="FH33"/>
  <c r="EJ33"/>
  <c r="FF33"/>
  <c r="EH33"/>
  <c r="FD33"/>
  <c r="EF33"/>
  <c r="FB33"/>
  <c r="ED33"/>
  <c r="FJ32"/>
  <c r="EL32"/>
  <c r="FH32"/>
  <c r="EJ32"/>
  <c r="FF32"/>
  <c r="EH32"/>
  <c r="FD32"/>
  <c r="EF32"/>
  <c r="FB32"/>
  <c r="ED32"/>
  <c r="FJ31"/>
  <c r="EL31"/>
  <c r="FH31"/>
  <c r="EJ31"/>
  <c r="FF31"/>
  <c r="EH31"/>
  <c r="FD31"/>
  <c r="EF31"/>
  <c r="FB31"/>
  <c r="ED31"/>
  <c r="FJ30"/>
  <c r="EL30"/>
  <c r="FH30"/>
  <c r="EJ30"/>
  <c r="FF30"/>
  <c r="EH30"/>
  <c r="FD30"/>
  <c r="EF30"/>
  <c r="FB30"/>
  <c r="ED30"/>
  <c r="FJ29"/>
  <c r="EL29"/>
  <c r="FH29"/>
  <c r="EJ29"/>
  <c r="FF29"/>
  <c r="EH29"/>
  <c r="FD29"/>
  <c r="EF29"/>
  <c r="FB29"/>
  <c r="ED29"/>
  <c r="FJ27"/>
  <c r="EL27"/>
  <c r="FH27"/>
  <c r="EJ27"/>
  <c r="FF27"/>
  <c r="EH27"/>
  <c r="FD27"/>
  <c r="EF27"/>
  <c r="FB27"/>
  <c r="ED27"/>
  <c r="FJ26"/>
  <c r="EL26"/>
  <c r="FH26"/>
  <c r="EJ26"/>
  <c r="FF26"/>
  <c r="EH26"/>
  <c r="FD26"/>
  <c r="EF26"/>
  <c r="FB26"/>
  <c r="ED26"/>
  <c r="FJ25"/>
  <c r="EL25"/>
  <c r="FH25"/>
  <c r="EJ25"/>
  <c r="FF25"/>
  <c r="EH25"/>
  <c r="FD25"/>
  <c r="EF25"/>
  <c r="FB25"/>
  <c r="ED25"/>
  <c r="FJ24"/>
  <c r="EL24"/>
  <c r="FH24"/>
  <c r="EJ24"/>
  <c r="FF24"/>
  <c r="EH24"/>
  <c r="FD24"/>
  <c r="EF24"/>
  <c r="FB24"/>
  <c r="ED24"/>
  <c r="FJ23"/>
  <c r="EL23"/>
  <c r="FH23"/>
  <c r="EJ23"/>
  <c r="FF23"/>
  <c r="EH23"/>
  <c r="FD23"/>
  <c r="EF23"/>
  <c r="FB23"/>
  <c r="ED23"/>
  <c r="FJ21"/>
  <c r="EL21"/>
  <c r="FH21"/>
  <c r="EJ21"/>
  <c r="FF21"/>
  <c r="EH21"/>
  <c r="FD21"/>
  <c r="EF21"/>
  <c r="FB21"/>
  <c r="ED21"/>
  <c r="FJ20"/>
  <c r="EL20"/>
  <c r="FH20"/>
  <c r="EJ20"/>
  <c r="FF20"/>
  <c r="EH20"/>
  <c r="FD20"/>
  <c r="EF20"/>
  <c r="FB20"/>
  <c r="ED20"/>
  <c r="FJ19"/>
  <c r="EL19"/>
  <c r="FH19"/>
  <c r="EJ19"/>
  <c r="FF19"/>
  <c r="EH19"/>
  <c r="FD19"/>
  <c r="EF19"/>
  <c r="FB19"/>
  <c r="ED19"/>
  <c r="FJ17"/>
  <c r="EL17"/>
  <c r="FH17"/>
  <c r="EJ17"/>
  <c r="FF17"/>
  <c r="EH17"/>
  <c r="FD17"/>
  <c r="EF17"/>
  <c r="FB17"/>
  <c r="ED17"/>
  <c r="FJ16"/>
  <c r="EL16"/>
  <c r="FH16"/>
  <c r="EJ16"/>
  <c r="FF16"/>
  <c r="EH16"/>
  <c r="FD16"/>
  <c r="EF16"/>
  <c r="FB16"/>
  <c r="ED16"/>
  <c r="FJ15"/>
  <c r="EL15"/>
  <c r="FH15"/>
  <c r="EJ15"/>
  <c r="FF15"/>
  <c r="EH15"/>
  <c r="FD15"/>
  <c r="EF15"/>
  <c r="FB15"/>
  <c r="ED15"/>
  <c r="FJ14"/>
  <c r="EL14"/>
  <c r="FH14"/>
  <c r="EJ14"/>
  <c r="FF14"/>
  <c r="EH14"/>
  <c r="FD14"/>
  <c r="EF14"/>
  <c r="FB14"/>
  <c r="ED14"/>
  <c r="FJ12"/>
  <c r="EL12"/>
  <c r="FH12"/>
  <c r="EJ12"/>
  <c r="FF12"/>
  <c r="EH12"/>
  <c r="FD12"/>
  <c r="EF12"/>
  <c r="FB12"/>
  <c r="ED12"/>
  <c r="FJ11"/>
  <c r="EL11"/>
  <c r="FH11"/>
  <c r="EJ11"/>
  <c r="FF11"/>
  <c r="EH11"/>
  <c r="FD11"/>
  <c r="EF11"/>
  <c r="FB11"/>
  <c r="ED11"/>
  <c r="FJ10"/>
  <c r="EL10"/>
  <c r="FH10"/>
  <c r="EJ10"/>
  <c r="FF10"/>
  <c r="EH10"/>
  <c r="FD10"/>
  <c r="EF10"/>
  <c r="FB10"/>
  <c r="ED10"/>
  <c r="FJ9"/>
  <c r="EL9"/>
  <c r="FH9"/>
  <c r="EJ9"/>
  <c r="FF9"/>
  <c r="EH9"/>
  <c r="FD9"/>
  <c r="EF9"/>
  <c r="FB9"/>
  <c r="ED9"/>
  <c r="FJ8"/>
  <c r="EL8"/>
  <c r="FH8"/>
  <c r="EJ8"/>
  <c r="FF8"/>
  <c r="EH8"/>
  <c r="FD8"/>
  <c r="EF8"/>
  <c r="FB8"/>
  <c r="ED8"/>
  <c r="FJ7"/>
  <c r="EL7"/>
  <c r="FH7"/>
  <c r="EJ7"/>
  <c r="FF7"/>
  <c r="EH7"/>
  <c r="FD7"/>
  <c r="EF7"/>
  <c r="FB7"/>
  <c r="ED7"/>
  <c r="FB61"/>
  <c r="ED61"/>
  <c r="FJ60"/>
  <c r="EL60"/>
  <c r="FH60"/>
  <c r="EJ60"/>
  <c r="FF60"/>
  <c r="EH60"/>
  <c r="FD60"/>
  <c r="EF60"/>
  <c r="FB60"/>
  <c r="ED60"/>
  <c r="FJ59"/>
  <c r="EL59"/>
  <c r="FH59"/>
  <c r="EJ59"/>
  <c r="FF59"/>
  <c r="EH59"/>
  <c r="FD59"/>
  <c r="EF59"/>
  <c r="FB59"/>
  <c r="ED59"/>
  <c r="FJ57"/>
  <c r="EL57"/>
  <c r="FH57"/>
  <c r="EJ57"/>
  <c r="FF57"/>
  <c r="EH57"/>
  <c r="FD57"/>
  <c r="EF57"/>
  <c r="FB57"/>
  <c r="ED57"/>
  <c r="FJ56"/>
  <c r="EL56"/>
  <c r="FH56"/>
  <c r="EJ56"/>
  <c r="FF56"/>
  <c r="EH56"/>
  <c r="FD56"/>
  <c r="EF56"/>
  <c r="FB56"/>
  <c r="ED56"/>
  <c r="FJ55"/>
  <c r="EL55"/>
  <c r="FH55"/>
  <c r="EJ55"/>
  <c r="FF55"/>
  <c r="EH55"/>
  <c r="FD55"/>
  <c r="EF55"/>
  <c r="FB55"/>
  <c r="ED55"/>
  <c r="FJ54"/>
  <c r="EL54"/>
  <c r="FH54"/>
  <c r="EJ54"/>
  <c r="FF54"/>
  <c r="EH54"/>
  <c r="FD54"/>
  <c r="EF54"/>
  <c r="FB54"/>
  <c r="ED54"/>
  <c r="FJ53"/>
  <c r="EL53"/>
  <c r="FH53"/>
  <c r="EJ53"/>
  <c r="FF53"/>
  <c r="EH53"/>
  <c r="FD53"/>
  <c r="EF53"/>
  <c r="FB53"/>
  <c r="ED53"/>
  <c r="FJ52"/>
  <c r="EL52"/>
  <c r="FH52"/>
  <c r="EJ52"/>
  <c r="FF52"/>
  <c r="EH52"/>
  <c r="FD52"/>
  <c r="EF52"/>
  <c r="FB52"/>
  <c r="ED52"/>
  <c r="FJ51"/>
  <c r="EL51"/>
  <c r="FH51"/>
  <c r="EJ51"/>
  <c r="FF51"/>
  <c r="EH51"/>
  <c r="FD51"/>
  <c r="EF51"/>
  <c r="FB51"/>
  <c r="ED51"/>
  <c r="FJ50"/>
  <c r="EL50"/>
  <c r="FH50"/>
  <c r="EJ50"/>
  <c r="FF50"/>
  <c r="EH50"/>
  <c r="FD50"/>
  <c r="EF50"/>
  <c r="FB50"/>
  <c r="ED50"/>
  <c r="FJ49"/>
  <c r="EL49"/>
  <c r="FH49"/>
  <c r="EJ49"/>
  <c r="FF49"/>
  <c r="EH49"/>
  <c r="FD49"/>
  <c r="EF49"/>
  <c r="FB49"/>
  <c r="ED49"/>
  <c r="FJ48"/>
  <c r="EL48"/>
  <c r="FH48"/>
  <c r="EJ48"/>
  <c r="FF48"/>
  <c r="EH48"/>
  <c r="FD48"/>
  <c r="EF48"/>
  <c r="FB48"/>
  <c r="ED48"/>
  <c r="FJ47"/>
  <c r="EL47"/>
  <c r="FH47"/>
  <c r="EJ47"/>
  <c r="FF47"/>
  <c r="EH47"/>
  <c r="FD47"/>
  <c r="EF47"/>
  <c r="FB47"/>
  <c r="ED47"/>
  <c r="FJ46"/>
  <c r="EL46"/>
  <c r="FH46"/>
  <c r="EJ46"/>
  <c r="FF46"/>
  <c r="EH46"/>
  <c r="FD46"/>
  <c r="EF46"/>
  <c r="FB46"/>
  <c r="ED46"/>
  <c r="FJ45"/>
  <c r="EL45"/>
  <c r="FH45"/>
  <c r="EJ45"/>
  <c r="FF45"/>
  <c r="EH45"/>
  <c r="FD45"/>
  <c r="EF45"/>
  <c r="FB45"/>
  <c r="ED45"/>
  <c r="FJ44"/>
  <c r="EL44"/>
  <c r="FH44"/>
  <c r="EJ44"/>
  <c r="FF44"/>
  <c r="EH44"/>
  <c r="FD44"/>
  <c r="EF44"/>
  <c r="FB44"/>
  <c r="ED44"/>
  <c r="FJ43"/>
  <c r="EL43"/>
  <c r="FH43"/>
  <c r="EJ43"/>
  <c r="FF43"/>
  <c r="EH43"/>
  <c r="FD43"/>
  <c r="EF43"/>
  <c r="FB43"/>
  <c r="ED43"/>
  <c r="FJ42"/>
  <c r="EL42"/>
  <c r="FH42"/>
  <c r="EJ42"/>
  <c r="FF42"/>
  <c r="EH42"/>
  <c r="FD42"/>
  <c r="EF42"/>
  <c r="FB42"/>
  <c r="ED42"/>
  <c r="FJ41"/>
  <c r="EL41"/>
  <c r="FH41"/>
  <c r="EJ41"/>
  <c r="FF41"/>
  <c r="EH41"/>
  <c r="FD41"/>
  <c r="EF41"/>
  <c r="FB41"/>
  <c r="ED41"/>
  <c r="FJ40"/>
  <c r="EL40"/>
  <c r="FH40"/>
  <c r="EJ40"/>
  <c r="FF40"/>
  <c r="EH40"/>
  <c r="FD40"/>
  <c r="EF40"/>
  <c r="FB40"/>
  <c r="ED40"/>
  <c r="FJ39"/>
  <c r="EL39"/>
  <c r="FH39"/>
  <c r="EJ39"/>
  <c r="FF39"/>
  <c r="EH39"/>
  <c r="FD39"/>
  <c r="EF39"/>
  <c r="FB39"/>
  <c r="ED39"/>
  <c r="FJ38"/>
  <c r="EL38"/>
  <c r="FH38"/>
  <c r="EJ38"/>
  <c r="FF38"/>
  <c r="EH38"/>
  <c r="FD38"/>
  <c r="EF38"/>
  <c r="FB38"/>
  <c r="ED38"/>
  <c r="FJ37"/>
  <c r="EL37"/>
  <c r="FH37"/>
  <c r="EJ37"/>
  <c r="FF37"/>
  <c r="EH37"/>
  <c r="FD37"/>
  <c r="EF37"/>
  <c r="FB37"/>
  <c r="ED37"/>
  <c r="FJ36"/>
  <c r="EL36"/>
  <c r="FG36"/>
  <c r="EI36"/>
  <c r="FE36"/>
  <c r="EG36"/>
  <c r="FC36"/>
  <c r="EE36"/>
  <c r="FK34"/>
  <c r="EM34"/>
  <c r="FI34"/>
  <c r="EK34"/>
  <c r="FG34"/>
  <c r="EI34"/>
  <c r="FE34"/>
  <c r="EG34"/>
  <c r="FC34"/>
  <c r="EE34"/>
  <c r="FK33"/>
  <c r="EM33"/>
  <c r="FI33"/>
  <c r="EK33"/>
  <c r="FG33"/>
  <c r="EI33"/>
  <c r="FE33"/>
  <c r="EG33"/>
  <c r="FC33"/>
  <c r="EE33"/>
  <c r="FK32"/>
  <c r="EM32"/>
  <c r="FI32"/>
  <c r="EK32"/>
  <c r="FG32"/>
  <c r="EI32"/>
  <c r="FE32"/>
  <c r="EG32"/>
  <c r="FC32"/>
  <c r="EE32"/>
  <c r="FK31"/>
  <c r="EM31"/>
  <c r="FI31"/>
  <c r="EK31"/>
  <c r="FG31"/>
  <c r="EI31"/>
  <c r="FE31"/>
  <c r="EG31"/>
  <c r="FC31"/>
  <c r="EE31"/>
  <c r="FK30"/>
  <c r="EM30"/>
  <c r="FI30"/>
  <c r="EK30"/>
  <c r="FG30"/>
  <c r="EI30"/>
  <c r="FE30"/>
  <c r="EG30"/>
  <c r="FC30"/>
  <c r="EE30"/>
  <c r="FK29"/>
  <c r="EM29"/>
  <c r="FI29"/>
  <c r="EK29"/>
  <c r="FG29"/>
  <c r="EI29"/>
  <c r="FE29"/>
  <c r="EG29"/>
  <c r="FC29"/>
  <c r="EE29"/>
  <c r="FK27"/>
  <c r="EM27"/>
  <c r="FI27"/>
  <c r="EK27"/>
  <c r="FG27"/>
  <c r="EI27"/>
  <c r="FE27"/>
  <c r="EG27"/>
  <c r="FC27"/>
  <c r="EE27"/>
  <c r="FK26"/>
  <c r="EM26"/>
  <c r="FI26"/>
  <c r="EK26"/>
  <c r="FG26"/>
  <c r="EI26"/>
  <c r="FE26"/>
  <c r="EG26"/>
  <c r="FC26"/>
  <c r="EE26"/>
  <c r="FK25"/>
  <c r="EM25"/>
  <c r="FI25"/>
  <c r="EK25"/>
  <c r="FG25"/>
  <c r="EI25"/>
  <c r="FE25"/>
  <c r="EG25"/>
  <c r="FC25"/>
  <c r="EE25"/>
  <c r="FK24"/>
  <c r="EM24"/>
  <c r="FI24"/>
  <c r="EK24"/>
  <c r="FG24"/>
  <c r="EI24"/>
  <c r="FE24"/>
  <c r="EG24"/>
  <c r="FC24"/>
  <c r="EE24"/>
  <c r="FK23"/>
  <c r="EM23"/>
  <c r="FI23"/>
  <c r="EK23"/>
  <c r="FG23"/>
  <c r="EI23"/>
  <c r="FE23"/>
  <c r="EG23"/>
  <c r="FC23"/>
  <c r="EE23"/>
  <c r="FK21"/>
  <c r="EM21"/>
  <c r="FI21"/>
  <c r="EK21"/>
  <c r="FG21"/>
  <c r="EI21"/>
  <c r="FE21"/>
  <c r="EG21"/>
  <c r="FC21"/>
  <c r="EE21"/>
  <c r="FK20"/>
  <c r="EM20"/>
  <c r="FI20"/>
  <c r="EK20"/>
  <c r="FG20"/>
  <c r="EI20"/>
  <c r="FE20"/>
  <c r="EG20"/>
  <c r="FC20"/>
  <c r="EE20"/>
  <c r="FK19"/>
  <c r="EM19"/>
  <c r="FI19"/>
  <c r="EK19"/>
  <c r="FG19"/>
  <c r="EI19"/>
  <c r="FE19"/>
  <c r="EG19"/>
  <c r="FC19"/>
  <c r="EE19"/>
  <c r="FK17"/>
  <c r="EM17"/>
  <c r="FI17"/>
  <c r="EK17"/>
  <c r="FG17"/>
  <c r="EI17"/>
  <c r="FE17"/>
  <c r="EG17"/>
  <c r="FC17"/>
  <c r="EE17"/>
  <c r="FK16"/>
  <c r="EM16"/>
  <c r="FI16"/>
  <c r="EK16"/>
  <c r="FG16"/>
  <c r="EI16"/>
  <c r="FE16"/>
  <c r="EG16"/>
  <c r="FC16"/>
  <c r="EE16"/>
  <c r="FK15"/>
  <c r="EM15"/>
  <c r="FI15"/>
  <c r="EK15"/>
  <c r="FG15"/>
  <c r="EI15"/>
  <c r="FE15"/>
  <c r="EG15"/>
  <c r="FC15"/>
  <c r="EE15"/>
  <c r="FK14"/>
  <c r="EM14"/>
  <c r="FI14"/>
  <c r="EK14"/>
  <c r="FG14"/>
  <c r="EI14"/>
  <c r="FE14"/>
  <c r="EG14"/>
  <c r="FC14"/>
  <c r="EE14"/>
  <c r="FK12"/>
  <c r="EM12"/>
  <c r="FI12"/>
  <c r="EK12"/>
  <c r="FG12"/>
  <c r="EI12"/>
  <c r="FE12"/>
  <c r="EG12"/>
  <c r="FC12"/>
  <c r="EE12"/>
  <c r="FK11"/>
  <c r="EM11"/>
  <c r="FI11"/>
  <c r="EK11"/>
  <c r="FG11"/>
  <c r="EI11"/>
  <c r="FE11"/>
  <c r="EG11"/>
  <c r="FC11"/>
  <c r="EE11"/>
  <c r="FK10"/>
  <c r="EM10"/>
  <c r="FI10"/>
  <c r="EK10"/>
  <c r="FG10"/>
  <c r="EI10"/>
  <c r="FE10"/>
  <c r="EG10"/>
  <c r="FC10"/>
  <c r="EE10"/>
  <c r="FK9"/>
  <c r="EM9"/>
  <c r="FI9"/>
  <c r="EK9"/>
  <c r="FG9"/>
  <c r="EI9"/>
  <c r="FE9"/>
  <c r="EG9"/>
  <c r="FC9"/>
  <c r="EE9"/>
  <c r="FK8"/>
  <c r="EM8"/>
  <c r="FI8"/>
  <c r="EK8"/>
  <c r="FG8"/>
  <c r="EI8"/>
  <c r="FE8"/>
  <c r="EG8"/>
  <c r="FC8"/>
  <c r="EE8"/>
  <c r="FK7"/>
  <c r="EM7"/>
  <c r="FI7"/>
  <c r="EK7"/>
  <c r="FG7"/>
  <c r="EI7"/>
  <c r="FE7"/>
  <c r="EG7"/>
  <c r="FC7"/>
  <c r="EE7"/>
  <c r="FI36"/>
  <c r="EK36"/>
  <c r="DF65"/>
  <c r="DH65"/>
  <c r="DJ65"/>
  <c r="DL65"/>
  <c r="DN65"/>
  <c r="DG65"/>
  <c r="DI65"/>
  <c r="DK65"/>
  <c r="DM65"/>
  <c r="DO65"/>
  <c r="DO89" l="1"/>
  <c r="DG89"/>
  <c r="DH89"/>
  <c r="DK89"/>
  <c r="DL89"/>
  <c r="DM89"/>
  <c r="DI89"/>
  <c r="DN89"/>
  <c r="DJ89"/>
  <c r="DF89"/>
  <c r="DQ89"/>
  <c r="EQ89"/>
  <c r="ES89"/>
  <c r="EU89"/>
  <c r="EW89"/>
  <c r="EZ89"/>
  <c r="EP89"/>
  <c r="ER89"/>
  <c r="ET89"/>
  <c r="EV89"/>
  <c r="EX89"/>
  <c r="EO89"/>
  <c r="DS89"/>
  <c r="DU89"/>
  <c r="DW89"/>
  <c r="DY89"/>
  <c r="EB89"/>
  <c r="DR89"/>
  <c r="DT89"/>
  <c r="DV89"/>
  <c r="DX89"/>
  <c r="DZ89"/>
  <c r="FG65"/>
  <c r="EI65"/>
  <c r="FH65"/>
  <c r="EJ65"/>
  <c r="FI65"/>
  <c r="EK65"/>
  <c r="FE65"/>
  <c r="EG65"/>
  <c r="FJ65"/>
  <c r="EL65"/>
  <c r="FF65"/>
  <c r="EH65"/>
  <c r="FB65"/>
  <c r="ED65"/>
  <c r="FK65"/>
  <c r="EM65"/>
  <c r="FC65"/>
  <c r="EE65"/>
  <c r="FD65"/>
  <c r="EF65"/>
  <c r="FD89" l="1"/>
  <c r="FC89"/>
  <c r="FK89"/>
  <c r="FB89"/>
  <c r="FF89"/>
  <c r="FJ89"/>
  <c r="FE89"/>
  <c r="FI89"/>
  <c r="FH89"/>
  <c r="FG89"/>
  <c r="EF89"/>
  <c r="EE89"/>
  <c r="EM89"/>
  <c r="ED89"/>
  <c r="EH89"/>
  <c r="EL89"/>
  <c r="EG89"/>
  <c r="EK89"/>
  <c r="EJ89"/>
  <c r="EI89"/>
  <c r="I68" i="2"/>
  <c r="Q68" l="1"/>
  <c r="P68"/>
</calcChain>
</file>

<file path=xl/comments1.xml><?xml version="1.0" encoding="utf-8"?>
<comments xmlns="http://schemas.openxmlformats.org/spreadsheetml/2006/main">
  <authors>
    <author>Brian Booher</author>
  </authors>
  <commentList>
    <comment ref="R373" authorId="0">
      <text>
        <r>
          <rPr>
            <b/>
            <sz val="18"/>
            <color indexed="81"/>
            <rFont val="Tahoma"/>
            <family val="2"/>
          </rPr>
          <t>Brian Booher:</t>
        </r>
        <r>
          <rPr>
            <sz val="18"/>
            <color indexed="81"/>
            <rFont val="Tahoma"/>
            <family val="2"/>
          </rPr>
          <t xml:space="preserve">
Assume all BC 8 efficiency disrtibutions match test results for MP3 players</t>
        </r>
      </text>
    </comment>
  </commentList>
</comments>
</file>

<file path=xl/sharedStrings.xml><?xml version="1.0" encoding="utf-8"?>
<sst xmlns="http://schemas.openxmlformats.org/spreadsheetml/2006/main" count="6890" uniqueCount="1448">
  <si>
    <t>The Home Depot</t>
  </si>
  <si>
    <t>Page 28</t>
  </si>
  <si>
    <t>TomTom</t>
  </si>
  <si>
    <t>Units = EUR</t>
  </si>
  <si>
    <t>Toro Company</t>
  </si>
  <si>
    <t>Toshiba</t>
  </si>
  <si>
    <t>Page 2; Units = yen</t>
  </si>
  <si>
    <t>Toys "R" Us</t>
  </si>
  <si>
    <t>Page 40</t>
  </si>
  <si>
    <t>Tyco International (ADT)</t>
  </si>
  <si>
    <t>Page 83; Revenue and Costs from Product Sales</t>
  </si>
  <si>
    <t>Verizon</t>
  </si>
  <si>
    <t>Consolidated Statements of Income</t>
  </si>
  <si>
    <t>vtech</t>
  </si>
  <si>
    <t>Page 34</t>
  </si>
  <si>
    <t>Walgreens</t>
  </si>
  <si>
    <t>Page 1</t>
  </si>
  <si>
    <t>Walmart</t>
  </si>
  <si>
    <t>Western Digital</t>
  </si>
  <si>
    <t>Whirlpool</t>
  </si>
  <si>
    <t>Page F-19</t>
  </si>
  <si>
    <t>Yamaha</t>
  </si>
  <si>
    <t>Page 17; Units = yen</t>
  </si>
  <si>
    <t>BCEPS Distributors:</t>
  </si>
  <si>
    <t>Arrow Electronics</t>
  </si>
  <si>
    <t>Avnet</t>
  </si>
  <si>
    <t>Page 42</t>
  </si>
  <si>
    <t>Bell Microproducts</t>
  </si>
  <si>
    <t>Nu Horizons</t>
  </si>
  <si>
    <t>Page F-1</t>
  </si>
  <si>
    <t>Mobile Telephony</t>
  </si>
  <si>
    <t>Stationary Telephony</t>
  </si>
  <si>
    <t>Computers/Accessories</t>
  </si>
  <si>
    <t>Printers/MFDs</t>
  </si>
  <si>
    <t>SUMMARY:</t>
  </si>
  <si>
    <t>Manufacturer</t>
  </si>
  <si>
    <t>Markup Categories</t>
  </si>
  <si>
    <t>Manufacturer Markup</t>
  </si>
  <si>
    <t>Retailer Markup</t>
  </si>
  <si>
    <t>Composite Markup</t>
  </si>
  <si>
    <t>Basis</t>
  </si>
  <si>
    <t>Vtech</t>
  </si>
  <si>
    <t>Average</t>
  </si>
  <si>
    <t>Retailer</t>
  </si>
  <si>
    <t>--</t>
  </si>
  <si>
    <t>PowerTools/Outdoor Appliances</t>
  </si>
  <si>
    <t>Floor Care</t>
  </si>
  <si>
    <t>Games/Entertainment</t>
  </si>
  <si>
    <t>Distributor</t>
  </si>
  <si>
    <t>Average Retailer MU*</t>
  </si>
  <si>
    <t>Uninterruptible Power Supply</t>
  </si>
  <si>
    <t>BC/EPS Distributors</t>
  </si>
  <si>
    <t>Other</t>
  </si>
  <si>
    <t>Average Manufacturer</t>
  </si>
  <si>
    <t>Average Retailer</t>
  </si>
  <si>
    <t>Sales Tax</t>
  </si>
  <si>
    <t>Division &amp; Large State Number</t>
  </si>
  <si>
    <t>Division &amp; Large State Name</t>
  </si>
  <si>
    <t>Division States</t>
  </si>
  <si>
    <t>Division Weighted Sales Tax</t>
  </si>
  <si>
    <t>Sources:</t>
  </si>
  <si>
    <t>New England</t>
  </si>
  <si>
    <t>CT, ME, MA, NH, RI, VT</t>
  </si>
  <si>
    <t>Mid Atlantic</t>
  </si>
  <si>
    <t>NJ, PA</t>
  </si>
  <si>
    <t>East North Central</t>
  </si>
  <si>
    <t>IL, IN, MI, OH, WI</t>
  </si>
  <si>
    <t>West North Central</t>
  </si>
  <si>
    <t>IA, KS, MN, MO, NE, ND, SD</t>
  </si>
  <si>
    <t>South Atlantic</t>
  </si>
  <si>
    <t>DE, DC, GA, MD, NC, SC, VA, WV</t>
  </si>
  <si>
    <t>East South Central</t>
  </si>
  <si>
    <t>AL, KY, MS, TN</t>
  </si>
  <si>
    <t>West South Central</t>
  </si>
  <si>
    <t>AR, LA, OK</t>
  </si>
  <si>
    <t>Mountain</t>
  </si>
  <si>
    <t>AZ, CO, ID, MT, NV, NM, UT, WY</t>
  </si>
  <si>
    <t>Pacific</t>
  </si>
  <si>
    <t>AK, HI, OR, WA</t>
  </si>
  <si>
    <t>New York State</t>
  </si>
  <si>
    <t>NY</t>
  </si>
  <si>
    <t>California</t>
  </si>
  <si>
    <t>CA</t>
  </si>
  <si>
    <t>Texas</t>
  </si>
  <si>
    <t>TX</t>
  </si>
  <si>
    <t>Florida</t>
  </si>
  <si>
    <t>FL</t>
  </si>
  <si>
    <t>Shipments</t>
  </si>
  <si>
    <t>Medical Devices</t>
  </si>
  <si>
    <t>Electric Vehicles</t>
  </si>
  <si>
    <t>Transport</t>
  </si>
  <si>
    <t>Outdoor Appliances</t>
  </si>
  <si>
    <t>Personal Care</t>
  </si>
  <si>
    <t>Mobility Devices</t>
  </si>
  <si>
    <t>[Units]</t>
  </si>
  <si>
    <t>2008 Shipments</t>
  </si>
  <si>
    <t>2007 Shipments</t>
  </si>
  <si>
    <t>2006 Shipments</t>
  </si>
  <si>
    <t>2005 Shipments</t>
  </si>
  <si>
    <t>MP3 Speaker Docks</t>
  </si>
  <si>
    <t>Notes</t>
  </si>
  <si>
    <t>Source</t>
  </si>
  <si>
    <t>General Product Categroy</t>
  </si>
  <si>
    <t>Product Subcategory</t>
  </si>
  <si>
    <t>Application</t>
  </si>
  <si>
    <t>Amateur Radios</t>
  </si>
  <si>
    <t>Pre-Amps</t>
  </si>
  <si>
    <t>Wireless Speakers</t>
  </si>
  <si>
    <t>Guitar Effects Pedals</t>
  </si>
  <si>
    <t>Keyboards</t>
  </si>
  <si>
    <t>Uninterruptible Power Supplies</t>
  </si>
  <si>
    <t>Handheld Image Scanners</t>
  </si>
  <si>
    <t>Portable Printers</t>
  </si>
  <si>
    <t>E-Books</t>
  </si>
  <si>
    <t>LAN Equipment</t>
  </si>
  <si>
    <t>In-Vehicle GPS</t>
  </si>
  <si>
    <t>Handheld GPS</t>
  </si>
  <si>
    <t>Bluetooth Headsets</t>
  </si>
  <si>
    <t>Consumer Two-Way Radios</t>
  </si>
  <si>
    <t>Mobile Phones</t>
  </si>
  <si>
    <t>Caller ID Devices</t>
  </si>
  <si>
    <t>VoIP Adapters</t>
  </si>
  <si>
    <t>Baby Monitors</t>
  </si>
  <si>
    <t>Camcorders</t>
  </si>
  <si>
    <t>Digital Cameras</t>
  </si>
  <si>
    <t>Digital Picture Frames</t>
  </si>
  <si>
    <t>Handheld Vacuums</t>
  </si>
  <si>
    <t>Robotic Vacuums</t>
  </si>
  <si>
    <t>Stick Vacuums</t>
  </si>
  <si>
    <t>Air Mattress Pumps</t>
  </si>
  <si>
    <t>Aquarium Accessories</t>
  </si>
  <si>
    <t>Breast Pumps</t>
  </si>
  <si>
    <t>Indoor Fountains</t>
  </si>
  <si>
    <t>RC Toys</t>
  </si>
  <si>
    <t>Irrigation Timers</t>
  </si>
  <si>
    <t>Universal Battery Chargers</t>
  </si>
  <si>
    <t>Hair Clippers</t>
  </si>
  <si>
    <t>Shavers</t>
  </si>
  <si>
    <t>Rechargeable Toothbrushes</t>
  </si>
  <si>
    <t>DIY Power Tools (Integral)</t>
  </si>
  <si>
    <t>DIY Power Tools (External)</t>
  </si>
  <si>
    <t>Professional Power Tools</t>
  </si>
  <si>
    <t>Motorized Bicycles</t>
  </si>
  <si>
    <t>Golf Carts</t>
  </si>
  <si>
    <t>Toy Ride-On Vehicles</t>
  </si>
  <si>
    <t xml:space="preserve">External Hard Drives </t>
  </si>
  <si>
    <t xml:space="preserve">Computer Speakers </t>
  </si>
  <si>
    <t>Audio</t>
  </si>
  <si>
    <t>Component Audio</t>
  </si>
  <si>
    <t>Musical Instruments</t>
  </si>
  <si>
    <t>Portable Audio &amp; Accessories</t>
  </si>
  <si>
    <t>Computers</t>
  </si>
  <si>
    <t>Computers and Peripherals</t>
  </si>
  <si>
    <t xml:space="preserve">Netbooks </t>
  </si>
  <si>
    <t>Notebooks</t>
  </si>
  <si>
    <t>Desktop Accessories</t>
  </si>
  <si>
    <t>Document Manipulation</t>
  </si>
  <si>
    <t>Document Reader</t>
  </si>
  <si>
    <t>Networking</t>
  </si>
  <si>
    <t>no subcategory</t>
  </si>
  <si>
    <t>Mobile</t>
  </si>
  <si>
    <t>Stationary</t>
  </si>
  <si>
    <t>Telephony</t>
  </si>
  <si>
    <t>Geospatial Equipment</t>
  </si>
  <si>
    <t>Household</t>
  </si>
  <si>
    <t>Floorcare</t>
  </si>
  <si>
    <t>Kitchen Appliances</t>
  </si>
  <si>
    <t>Other Household</t>
  </si>
  <si>
    <t>Water Softeners/Purifiers</t>
  </si>
  <si>
    <t>Power Tools</t>
  </si>
  <si>
    <t>Shipments of desktop computers used as proxy</t>
  </si>
  <si>
    <t>Sum of shipments, Cordless phones, telephone answering devices</t>
  </si>
  <si>
    <t>Electric Scooters</t>
  </si>
  <si>
    <t>Lifetimes</t>
  </si>
  <si>
    <t>Source A</t>
  </si>
  <si>
    <t>Source B</t>
  </si>
  <si>
    <t>Source C</t>
  </si>
  <si>
    <t>[%]</t>
  </si>
  <si>
    <t>Based on fast turnover of gaming operating systems and software, as well as increased wear and tear</t>
  </si>
  <si>
    <t>Based on TV/VCR/DVD combo lifetime of 6 years, subtracting for increased wear and tear</t>
  </si>
  <si>
    <t>Based on average computer peripheral lifetime</t>
  </si>
  <si>
    <t>Portable DVD Players</t>
  </si>
  <si>
    <t>Based on lifetime for "Cordless Rechargeable Household Appliances"</t>
  </si>
  <si>
    <t>Estimate for "Portable Audio"</t>
  </si>
  <si>
    <t>Cordless Phones</t>
  </si>
  <si>
    <t>To calculate, took average price of electric ride-on vehicles from Amazon.com and divided into 2008 sales ($) estimates from TIA.</t>
  </si>
  <si>
    <t>Source 2</t>
  </si>
  <si>
    <t>Source 1</t>
  </si>
  <si>
    <t>[Units</t>
  </si>
  <si>
    <t>Hair</t>
  </si>
  <si>
    <t>Dental</t>
  </si>
  <si>
    <t>Shipment for stereo headsets - actual number will be higher</t>
  </si>
  <si>
    <t>Estimate based on average 1.86 children/household, used 1-2 years/child</t>
  </si>
  <si>
    <t>Average of the three is 4.667, so assume conservative estimate of lifetime is 5</t>
  </si>
  <si>
    <t>Estimate based on lifetime for Indoor Fountain pumps</t>
  </si>
  <si>
    <t>BC % Shipments</t>
  </si>
  <si>
    <t>EPS % Shipments</t>
  </si>
  <si>
    <t>Video Game Consoles</t>
  </si>
  <si>
    <t>Number</t>
  </si>
  <si>
    <t>Childcare</t>
  </si>
  <si>
    <t>Entertainment</t>
  </si>
  <si>
    <t>Home Systems</t>
  </si>
  <si>
    <t>Photo/Video</t>
  </si>
  <si>
    <t>Product Class 3</t>
  </si>
  <si>
    <t>Product Class 4</t>
  </si>
  <si>
    <t>Product Class 5</t>
  </si>
  <si>
    <t>Product Class 6</t>
  </si>
  <si>
    <t>Product Class 7</t>
  </si>
  <si>
    <t>Product Class 8</t>
  </si>
  <si>
    <t>Product Class 9</t>
  </si>
  <si>
    <t>Product Class 10</t>
  </si>
  <si>
    <t>2004 Shipments</t>
  </si>
  <si>
    <t>Shipments - Source 1</t>
  </si>
  <si>
    <t>Shipments - Source 2</t>
  </si>
  <si>
    <t>Sum of "standard wireless telephones" and "smartphones" to yield total mobile telephone shipments.</t>
  </si>
  <si>
    <t>Answering Machines</t>
  </si>
  <si>
    <t>Marine/Automotive/RV Chargers</t>
  </si>
  <si>
    <t>Large Battery Chargers</t>
  </si>
  <si>
    <t>estimate based on AHAM conversation</t>
  </si>
  <si>
    <t>model count, online Home Depot, Lowes, Sears</t>
  </si>
  <si>
    <t xml:space="preserve">GSMA </t>
  </si>
  <si>
    <t>take as percentage of BC shipments</t>
  </si>
  <si>
    <t>Clock Radios</t>
  </si>
  <si>
    <t>MP3 Players</t>
  </si>
  <si>
    <t>Personal Digital Assistants</t>
  </si>
  <si>
    <t>Image Scanners</t>
  </si>
  <si>
    <t>Portable Video Game Systems</t>
  </si>
  <si>
    <t>Home Security Systems</t>
  </si>
  <si>
    <t>Blenders</t>
  </si>
  <si>
    <t>Can Openers</t>
  </si>
  <si>
    <t>Mixers</t>
  </si>
  <si>
    <t>Flashlights/Lanterns</t>
  </si>
  <si>
    <t>Lawn Mowers</t>
  </si>
  <si>
    <t>Wheelchairs</t>
  </si>
  <si>
    <t>Mobility Scooters</t>
  </si>
  <si>
    <t>Product Class 1</t>
  </si>
  <si>
    <t>Product Class 2</t>
  </si>
  <si>
    <t>Estimate: no supporting evidence</t>
  </si>
  <si>
    <t>BCs per unit</t>
  </si>
  <si>
    <t>EPSs per unit</t>
  </si>
  <si>
    <t>Estimate, unvalidated</t>
  </si>
  <si>
    <t>Appliance Magazine less portable printer estimate</t>
  </si>
  <si>
    <t>% Commercial Shipments</t>
  </si>
  <si>
    <t>Commercial Shipment Source</t>
  </si>
  <si>
    <t>Estimate</t>
  </si>
  <si>
    <t>This number may be too high</t>
  </si>
  <si>
    <t>Using 2009 estimate due to explosive growth</t>
  </si>
  <si>
    <t>Shipments are for wall adapters</t>
  </si>
  <si>
    <t>Shipments are for wall adapters.</t>
  </si>
  <si>
    <t>Estimate, unverified</t>
  </si>
  <si>
    <t>About same as toy ride on vehicle</t>
  </si>
  <si>
    <t>Assume same % as mowers</t>
  </si>
  <si>
    <t>Estimate is reasonable. B&amp;D is recalling 200,000 electric trimmers manufactured over the course of one year. B&amp;D Electric string trimmers are less popular than corded trimmers  listed at Home Depot and Amazon web sites. Hence, cordless estimate may is conservative.</t>
  </si>
  <si>
    <t>Year 2000 shipments of first low-cost electric were 10M. http://www.businessweek.com/magazine/content/02_32/b3795072.htm</t>
  </si>
  <si>
    <t>Used same as toothbrush</t>
  </si>
  <si>
    <t>2009 Shipments</t>
  </si>
  <si>
    <t>Base Year Source</t>
  </si>
  <si>
    <t>Cites DisplaySearch. For North America.</t>
  </si>
  <si>
    <t>Estimate based on US share of world wide shipements. 2006 World shipments from "EE Times Asia", citing iSupply</t>
  </si>
  <si>
    <t>Product survey, NCA Determination Analysis 2008</t>
  </si>
  <si>
    <t>Bed Bath &amp; Beyond</t>
  </si>
  <si>
    <t>Page 31</t>
  </si>
  <si>
    <t>Product survey, NCA Determination Analysis 2008. Batteries typically sold as optional accessory, assume 100% of users choose this option.</t>
  </si>
  <si>
    <t>Estimate, unverified.</t>
  </si>
  <si>
    <t>Top selling machine on CPAP.comfor Q4 2009  (31.5% of orders) has optional battery pack.</t>
  </si>
  <si>
    <t>Best selling EPS unit does not have battery back up.</t>
  </si>
  <si>
    <t>Monthly data: 12 months Dec 2008 to Nov 2009</t>
  </si>
  <si>
    <t>Some speakers made by Rocket Fish can charge rechargeable C batteries</t>
  </si>
  <si>
    <t>Typical to have EPS for wireless sender and one EPS for the speakers or amplifier.</t>
  </si>
  <si>
    <t>Product surveys (4 of 30 products)</t>
  </si>
  <si>
    <t>Assume BC to charge MP3 player is in player, not dock</t>
  </si>
  <si>
    <t>Estimate, based on survey of 5 Amazon.com products</t>
  </si>
  <si>
    <t>Product survey</t>
  </si>
  <si>
    <t xml:space="preserve">Estimate, %EPS based on Google shopping results. </t>
  </si>
  <si>
    <t>Product surveys</t>
  </si>
  <si>
    <t>Typical EPS Voltage 1</t>
  </si>
  <si>
    <t>Typical EPS Pout 1</t>
  </si>
  <si>
    <t>Typical EPS Voltage 2</t>
  </si>
  <si>
    <t>Typical EPS Pout 2</t>
  </si>
  <si>
    <t>Typical BC Voltage1</t>
  </si>
  <si>
    <t>Typical BC Energy1</t>
  </si>
  <si>
    <t>Typical BC Voltage2</t>
  </si>
  <si>
    <t>Typical BC Energy2</t>
  </si>
  <si>
    <t>-</t>
  </si>
  <si>
    <t>Product survey, Apple adapter</t>
  </si>
  <si>
    <t>Assume same as  MP3 Speaker Dock</t>
  </si>
  <si>
    <t>Product Survey. MSI Wind Adapter</t>
  </si>
  <si>
    <t xml:space="preserve">Product Survey. </t>
  </si>
  <si>
    <t>&lt;100Wh Inductive</t>
  </si>
  <si>
    <t>&lt;100Wh 0-4V</t>
  </si>
  <si>
    <t>DC/DC 5Vinput</t>
  </si>
  <si>
    <t>DC/DC 12VInput</t>
  </si>
  <si>
    <t>AC output from Batt</t>
  </si>
  <si>
    <t>Product Survey, Apple ipod classic. This model was chosen because it offers the upper end of the Wh spectrum for Ipods. Amazon sales ranks (1/13/10) suggest the Ipod Touch is the most popular model, followed by the Nano, then the Shuffle. Recent survey shows iPod Touch also top selling model, followed by Shuffle. http://seekingalpha.com/article/131145-apple-sales-look-healthy.</t>
  </si>
  <si>
    <t>Product Survey</t>
  </si>
  <si>
    <t>equal to Rep unit, found also in product survey</t>
  </si>
  <si>
    <t>Wireless Headphones</t>
  </si>
  <si>
    <t>Product survey, and rep unit</t>
  </si>
  <si>
    <t>AC/DC reg voltage</t>
  </si>
  <si>
    <t>AC/DC low voltage</t>
  </si>
  <si>
    <t>AC/AC reg voltage</t>
  </si>
  <si>
    <t>AC/AC low voltage</t>
  </si>
  <si>
    <t>Rep unit is only 3Wh, doesn't jive with product survey</t>
  </si>
  <si>
    <t>Product Survey. Used rep unit</t>
  </si>
  <si>
    <t>Assume same as Cordless Phone</t>
  </si>
  <si>
    <t>Assume same as Cordless phone</t>
  </si>
  <si>
    <t>Specs for Wii</t>
  </si>
  <si>
    <t>Product Survey, Nintendo DS</t>
  </si>
  <si>
    <t>Product survey, Sony PSP</t>
  </si>
  <si>
    <t>Product Survey for Voltage, Estimate for energy (unverified)</t>
  </si>
  <si>
    <t>Assume same as aquariums</t>
  </si>
  <si>
    <t>ENERGY STAR product list (12/31/2009) Hon-Kwang 9VAC 200mA AC Adapter with Power Cord - A9-02A</t>
  </si>
  <si>
    <t>Product survey for voltage, unverified estimate for Pout</t>
  </si>
  <si>
    <t>Rep unit</t>
  </si>
  <si>
    <t>Estimate based on meeting with Securities Industry Council 4/9/.2009</t>
  </si>
  <si>
    <t>&gt;3000 Wh</t>
  </si>
  <si>
    <t>Based on Rep unit</t>
  </si>
  <si>
    <t>Product Survey, Kindle and Kindle DX</t>
  </si>
  <si>
    <t>Based on examination of models on Musician's Friend Website</t>
  </si>
  <si>
    <t>Product Survey, only one unit</t>
  </si>
  <si>
    <t>Assume same as mobile phone</t>
  </si>
  <si>
    <t>Voltage: Estimate, based lithium ion battery. Energy, based on battery capacity of Motorola H500</t>
  </si>
  <si>
    <t>Based on Razor E125 http://www.razorama.com/razor-e100-e150-battery.html</t>
  </si>
  <si>
    <t>AC/DC charger Field Research. Bay State Medical, MD, 11/10/2008</t>
  </si>
  <si>
    <t>DC/DC charger Field Research. Bay State Medical, MD, 11/10/2008</t>
  </si>
  <si>
    <t>Sequal product information sheet</t>
  </si>
  <si>
    <t xml:space="preserve">Product survey. </t>
  </si>
  <si>
    <t xml:space="preserve"> </t>
  </si>
  <si>
    <t>Test results: Black and Decker KEC600</t>
  </si>
  <si>
    <t>Test unit, estimate for Energy (no validation)</t>
  </si>
  <si>
    <t>Same as handheld vac. Test unit, estimate for Energy (no validation)</t>
  </si>
  <si>
    <t>Product Class % source</t>
  </si>
  <si>
    <t>Based on market overview by Ari Reeves</t>
  </si>
  <si>
    <t>EPS PC: models use detachable battery packs, estimate. BC PC: based on market overview by Ari Reeves.</t>
  </si>
  <si>
    <t>Market research by Ari Reeves, and test unit.</t>
  </si>
  <si>
    <t>Email from Michael Vladimer 9/14/2009. Greatland Flocked-top queen airbed with external pump</t>
  </si>
  <si>
    <t>Based on email from Michael Vladimer 9/14/2009.</t>
  </si>
  <si>
    <t xml:space="preserve">Test Result NCA Det. </t>
  </si>
  <si>
    <t>Estimate, based on http://www.electricshaverstore.com/item.asp?n=13810584</t>
  </si>
  <si>
    <t>Assume same as shavers</t>
  </si>
  <si>
    <t>&lt;100Wh &gt;=4, &lt;10V</t>
  </si>
  <si>
    <t>&lt;100Wh &gt;=10</t>
  </si>
  <si>
    <t xml:space="preserve">0- &lt;20V 100-3000Wh </t>
  </si>
  <si>
    <t xml:space="preserve">&gt;=20, 100-3000Wh </t>
  </si>
  <si>
    <t>Based on Respironics REMstar Pro</t>
  </si>
  <si>
    <t>Power supply for battery pack http://www.cpap.com/productpage/respironics-battery-pack.html</t>
  </si>
  <si>
    <t xml:space="preserve">Based on Pari unit. </t>
  </si>
  <si>
    <t>EPS PC: product survey. BC PC: Estimate for PC5, unverified estimate for PC9, based on Pari Trek S.</t>
  </si>
  <si>
    <t>[#]</t>
  </si>
  <si>
    <t>PGE et al comments</t>
  </si>
  <si>
    <t>Battery only.</t>
  </si>
  <si>
    <t>Assume solid state camcorders use USB. Using Flip brand share (17%) and add estimate for other manufacturers' USB powered camcorder share (assume 8%).</t>
  </si>
  <si>
    <t>Unverified estimate</t>
  </si>
  <si>
    <t>2006 Revenue
(millions)</t>
  </si>
  <si>
    <t>2006 Cost of Goods Sold
(millions)</t>
  </si>
  <si>
    <t>2007 Revenue
(millions)</t>
  </si>
  <si>
    <t>2007 Cost of Goods Sold
(millions)</t>
  </si>
  <si>
    <t>2008 Revenue
(millions)</t>
  </si>
  <si>
    <t>2008 Cost of Goods Sold
(millions)</t>
  </si>
  <si>
    <t>2009 Revenue
(millions)</t>
  </si>
  <si>
    <t>2009 Cost of Goods Sold
(millions)</t>
  </si>
  <si>
    <t>Page 52</t>
  </si>
  <si>
    <t>Unaudited Data - 9 months ending 11/13</t>
  </si>
  <si>
    <t>Page 46</t>
  </si>
  <si>
    <t>Based on DOE estimate, assuming GSMA global charging agreement is adopted by industry</t>
  </si>
  <si>
    <t>Use this for EPSs!</t>
  </si>
  <si>
    <t>Use this for BCs! Includes PDAs</t>
  </si>
  <si>
    <t>Used same as digital camera</t>
  </si>
  <si>
    <t>Used "phone: "other powered"</t>
  </si>
  <si>
    <t>Used "full-size" vacuum cleaners</t>
  </si>
  <si>
    <t>Used compact disc players</t>
  </si>
  <si>
    <t>Used "radios"</t>
  </si>
  <si>
    <t>Used "portable personal stereos"</t>
  </si>
  <si>
    <t>Wgt average of men's and women's shavers</t>
  </si>
  <si>
    <t>Assume same as inkjet printer</t>
  </si>
  <si>
    <t>Based on lifetime of clothes washers from Appliance Magazine September 2009.</t>
  </si>
  <si>
    <t>Medical</t>
  </si>
  <si>
    <t>Estimate, based on common length of time between new console generations</t>
  </si>
  <si>
    <t xml:space="preserve">Estimate, based on American Sleep Apnea Association. Apnea Support Forum discussion amongst users on sleep therapy device lifetimes. January 25, 2007. </t>
  </si>
  <si>
    <t>Tim Cassidy, SL Power. Committee Workshop before the California Energy Resources Conservation and Development Commission meeting transcript. 1/30/06 California Energy Commission.</t>
  </si>
  <si>
    <t>Medical devices in general</t>
  </si>
  <si>
    <t>Beard and Moustache Trimmers</t>
  </si>
  <si>
    <t>Product surveys.</t>
  </si>
  <si>
    <t>For laptops</t>
  </si>
  <si>
    <t>General Product Category</t>
  </si>
  <si>
    <t>Based on replacement battery for Garmin Nuvi 200 series. http://www.radioshack.com/product/index.jsp?productId=3499892&amp;CAWELAID=318814039</t>
  </si>
  <si>
    <t>Estimate, based on source RCR wireless citing IMS. Worldwide shipments of 6M were adjusted to US by share of world GDP, 23.4%. http://www.rcrwireless.com/article/20090119/WIRELESS/901199989/1080/bluetooth-adoption-set-for-continued-expansion</t>
  </si>
  <si>
    <t>Manufacturer Interviews</t>
  </si>
  <si>
    <t>3 year lifetime for heavy use.</t>
  </si>
  <si>
    <t>Average of Light, Medium, and Heavy Use.</t>
  </si>
  <si>
    <t xml:space="preserve">Based on saturation, number of households and average lifetime. SIA: residential market: 28% saturation, no increase in saturation expected. Meeting with D&amp;R and DOE 4/9/2009 </t>
  </si>
  <si>
    <t>Estimate, based on 0.1% of US Population</t>
  </si>
  <si>
    <t>Estimate, based on 1% of US Population. Year 2000 shipments of first low-cost electric were 10M. http://www.businessweek.com/magazine/content/02_32/b3795072.htm</t>
  </si>
  <si>
    <t>Based on prevalence of Asthma and COPD in US population</t>
  </si>
  <si>
    <t>Estimate. Based on Sequal press release dated Feb 15, 2008 that stated total 2007 shipments to be 10,000 units. Assume US shipments were 80% of total. Increase growth by Darnell estimate for medical EPS (11.4%)</t>
  </si>
  <si>
    <t>Estimate, unverified For MSO Power supply for multiple effects pedals</t>
  </si>
  <si>
    <t>EPS PC: Estimate, unverified BC PC: based on hand vac and stick vac units in market survey</t>
  </si>
  <si>
    <t>EPS PC: Estimate, unverified BC PC: test unit</t>
  </si>
  <si>
    <t xml:space="preserve">Estimate, unverified Energy Based on Test model used. </t>
  </si>
  <si>
    <t xml:space="preserve">Estimate, unverified </t>
  </si>
  <si>
    <t>No known BC units</t>
  </si>
  <si>
    <t>product surveys</t>
  </si>
  <si>
    <t>Shipmenst are for BC units</t>
  </si>
  <si>
    <t>Based on iRobot models</t>
  </si>
  <si>
    <t>Estimate based on products available from Walmart.com</t>
  </si>
  <si>
    <t>BC by definition</t>
  </si>
  <si>
    <t>*Other category does not take into account medical device manufacturers or distributors.</t>
  </si>
  <si>
    <t>Shipments are for rechargeable power tools</t>
  </si>
  <si>
    <t>All electric transport products use BCs</t>
  </si>
  <si>
    <t>Based on Sequal Eclipse, which uses BC</t>
  </si>
  <si>
    <t>Shipments are for EPSs</t>
  </si>
  <si>
    <t>No known EPS units</t>
  </si>
  <si>
    <t>Product surveys, in store research</t>
  </si>
  <si>
    <t>Based on examination of seller websites, input from SIA.</t>
  </si>
  <si>
    <t>Product surveys, estimate</t>
  </si>
  <si>
    <t>Based on examination of seller websites. Note that most water softeners are manufactured by Ecowater Systems but may be sold under different brand names (GE, etc) All Ecowater Systems units appear to use EPSs.</t>
  </si>
  <si>
    <t>Estimate, unverified. Supported by AHAM</t>
  </si>
  <si>
    <t>Estimate based on two top selling models sold on CPAP.com. CPAP.com periodically releases share of sales by model.</t>
  </si>
  <si>
    <t xml:space="preserve">Based on Sequal Eclipse, which uses wall adapter. </t>
  </si>
  <si>
    <t>Company Name</t>
  </si>
  <si>
    <t>Markup</t>
  </si>
  <si>
    <t>Date Accessed</t>
  </si>
  <si>
    <t>Manufacture?</t>
  </si>
  <si>
    <t>Retail?</t>
  </si>
  <si>
    <t>Acer (Gateway)</t>
  </si>
  <si>
    <t>Yes</t>
  </si>
  <si>
    <t>---</t>
  </si>
  <si>
    <t>Amazon.com</t>
  </si>
  <si>
    <t>Apple</t>
  </si>
  <si>
    <t>AT&amp;T</t>
  </si>
  <si>
    <t>Shipments are only for HP EPSs</t>
  </si>
  <si>
    <t>Based on Rocket Fish RF-WS01, which takes 8 c size batteries.</t>
  </si>
  <si>
    <t>Estimate. Assumes only a few consumers would purchase multiple voltage power supply given their expense</t>
  </si>
  <si>
    <t>Product Surveys</t>
  </si>
  <si>
    <t>Assume same as MP3 speaker docks</t>
  </si>
  <si>
    <t>Product Surveys for general classification. Unverified estimate for EPS rep unit classification.</t>
  </si>
  <si>
    <t>Estimate, based on review of items available from "Google shopping" results on 1/7/2009</t>
  </si>
  <si>
    <t xml:space="preserve">Product surveys, includes MFDs. Note HP no longer uses MSO EPSs. </t>
  </si>
  <si>
    <t>Based on use of cigarette receptacle</t>
  </si>
  <si>
    <t>Assume same as cordless phones</t>
  </si>
  <si>
    <t>EPS: based on split between DS and PSP. BC: product survey</t>
  </si>
  <si>
    <t>Based on discussions with SIA and retailer web sites</t>
  </si>
  <si>
    <t>EPS PC: product survey. BC PC: Unverified Estimate</t>
  </si>
  <si>
    <t>EPS: Estimate, unverified. BCs: Product survey</t>
  </si>
  <si>
    <t>EPSs: Estimate, unverified. BCs: by definition</t>
  </si>
  <si>
    <t>Assume same as rechargeable toothbrushes</t>
  </si>
  <si>
    <t>EPS PC: Estimate, unverified BC PC: Assume units use 2 AA sized rechargeable batteries.</t>
  </si>
  <si>
    <t>EPSs: Product surveys. BCs: product surveys</t>
  </si>
  <si>
    <t>Based on two units in the market</t>
  </si>
  <si>
    <t>Based on Sequal unit.</t>
  </si>
  <si>
    <t>BC Unit Shipments Source</t>
  </si>
  <si>
    <t>EPS Unit Shipments Source</t>
  </si>
  <si>
    <t xml:space="preserve">Product is on ENERGY STAR product list, but not associated with an application. </t>
  </si>
  <si>
    <t>Estimate of voltage, wattage based on AudioVox clock radio</t>
  </si>
  <si>
    <t>Based on AC adapter for Casio keyboards, model number AD5MR</t>
  </si>
  <si>
    <t>Ink Jet Imaging Equipment</t>
  </si>
  <si>
    <t>Includes modems, LAN equipment, wi-fi access points. Adjusted to US share of North American GDP (85%).</t>
  </si>
  <si>
    <t>Autozone</t>
  </si>
  <si>
    <t>Best Buy</t>
  </si>
  <si>
    <t>Page 70</t>
  </si>
  <si>
    <t>Black &amp; Decker</t>
  </si>
  <si>
    <t>Page 36</t>
  </si>
  <si>
    <t>Broadview Security</t>
  </si>
  <si>
    <t>Page 44</t>
  </si>
  <si>
    <t>Brother</t>
  </si>
  <si>
    <t>Page 1; Units = yen</t>
  </si>
  <si>
    <t>Canon</t>
  </si>
  <si>
    <t>Page 68; Units = yen</t>
  </si>
  <si>
    <t>Costco Wholesale</t>
  </si>
  <si>
    <t>Page 47</t>
  </si>
  <si>
    <t>Covidien</t>
  </si>
  <si>
    <t>Page 74</t>
  </si>
  <si>
    <t>CVS</t>
  </si>
  <si>
    <t>Page 39</t>
  </si>
  <si>
    <t>Dell</t>
  </si>
  <si>
    <t>Electrolux/Eureka</t>
  </si>
  <si>
    <t>Epson</t>
  </si>
  <si>
    <t>Page 50; Units = yen</t>
  </si>
  <si>
    <t>GameStop</t>
  </si>
  <si>
    <t>Page F-6</t>
  </si>
  <si>
    <t>Garmin</t>
  </si>
  <si>
    <t>Page 55</t>
  </si>
  <si>
    <t>General Electric</t>
  </si>
  <si>
    <t>Page 69</t>
  </si>
  <si>
    <t>Henry Schein</t>
  </si>
  <si>
    <t>Page 24; CGS calculated by Net Sales - Gross Pargin</t>
  </si>
  <si>
    <t>Hewlett Packard</t>
  </si>
  <si>
    <t>Hitachi</t>
  </si>
  <si>
    <t>Honeywell</t>
  </si>
  <si>
    <t>Page 49</t>
  </si>
  <si>
    <t>Ingersoll Rand (Club Car)</t>
  </si>
  <si>
    <t>iRobot</t>
  </si>
  <si>
    <t>JVC Kenwood Holdings</t>
  </si>
  <si>
    <t>Consolidated Statement of Income; Unit = yen</t>
  </si>
  <si>
    <t>Kodak</t>
  </si>
  <si>
    <t>Page 59</t>
  </si>
  <si>
    <t>Lexmark</t>
  </si>
  <si>
    <t>Page 57</t>
  </si>
  <si>
    <t>LG</t>
  </si>
  <si>
    <t>2008 Consolidated Financial Statement download; Units = Korean Won</t>
  </si>
  <si>
    <t>Logitech</t>
  </si>
  <si>
    <t>Lowe's</t>
  </si>
  <si>
    <t>Consolidated Statements of Earnings</t>
  </si>
  <si>
    <t>Makita</t>
  </si>
  <si>
    <t>Page F-5; Units = yen</t>
  </si>
  <si>
    <t>Mattel</t>
  </si>
  <si>
    <t>Page 58</t>
  </si>
  <si>
    <t>Motorola</t>
  </si>
  <si>
    <t>Page 83</t>
  </si>
  <si>
    <t>Napco Security</t>
  </si>
  <si>
    <t>Consolidated statements of Operations</t>
  </si>
  <si>
    <t>Netgear</t>
  </si>
  <si>
    <t>Page 37</t>
  </si>
  <si>
    <t>Nikon</t>
  </si>
  <si>
    <t>Page 30; Units = yen</t>
  </si>
  <si>
    <t>Nintendo</t>
  </si>
  <si>
    <t>2009 Population</t>
  </si>
  <si>
    <t>Office Depot</t>
  </si>
  <si>
    <t>Page 22; Units = yen</t>
  </si>
  <si>
    <t>Nokia</t>
  </si>
  <si>
    <t>Page F-3; Units = EUR</t>
  </si>
  <si>
    <t>OCZ Technology</t>
  </si>
  <si>
    <t>Office depot</t>
  </si>
  <si>
    <t>Olympus</t>
  </si>
  <si>
    <t>Omron Corp.</t>
  </si>
  <si>
    <t>Page 52; Units = yen</t>
  </si>
  <si>
    <t>Owens &amp; Minor</t>
  </si>
  <si>
    <t>Page 54</t>
  </si>
  <si>
    <t>Palm</t>
  </si>
  <si>
    <t>Page 71</t>
  </si>
  <si>
    <t>Panasonic</t>
  </si>
  <si>
    <t>Page 95; Units= yen</t>
  </si>
  <si>
    <t>Pep Boys</t>
  </si>
  <si>
    <t>Philips</t>
  </si>
  <si>
    <t>PSS World Medical</t>
  </si>
  <si>
    <t>Page F-4</t>
  </si>
  <si>
    <t>Radioshack</t>
  </si>
  <si>
    <t>Page 48</t>
  </si>
  <si>
    <t>Research In Motion</t>
  </si>
  <si>
    <t>Resmed</t>
  </si>
  <si>
    <t>Page F3</t>
  </si>
  <si>
    <t>RiteAid</t>
  </si>
  <si>
    <t>Page 65</t>
  </si>
  <si>
    <t>Samsung</t>
  </si>
  <si>
    <t>Sandisk</t>
  </si>
  <si>
    <t>Recent Gross Margin</t>
  </si>
  <si>
    <t>*Amateur Radio retailers are typically small and privately owned. Given that financial data is not available for these, DOE uses the average retail Markup as a proxy.</t>
  </si>
  <si>
    <t>Page F-5</t>
  </si>
  <si>
    <t>Schneider Electric (APC)</t>
  </si>
  <si>
    <t>Page 108; Units = EUR</t>
  </si>
  <si>
    <t>Sears</t>
  </si>
  <si>
    <t>Page 51</t>
  </si>
  <si>
    <t>Sony</t>
  </si>
  <si>
    <t>Page F-6; Units = yen</t>
  </si>
  <si>
    <t>Sprint</t>
  </si>
  <si>
    <t>Staples</t>
  </si>
  <si>
    <t>Page C-4</t>
  </si>
  <si>
    <t>Systemax (Ultra)</t>
  </si>
  <si>
    <t>Page 41</t>
  </si>
  <si>
    <t>Target</t>
  </si>
  <si>
    <t>Page 26</t>
  </si>
  <si>
    <t>Textron (E-Z-Go)</t>
  </si>
  <si>
    <t>2006 SG&amp;A
(millions)</t>
  </si>
  <si>
    <t>2007 SG&amp;A
(millions)</t>
  </si>
  <si>
    <t>2008 SG&amp;A
(millions)</t>
  </si>
  <si>
    <t>2009 SG&amp;A
(millions)</t>
  </si>
  <si>
    <t>2006 Baseline Markup</t>
  </si>
  <si>
    <t>2007 Baseline Markup</t>
  </si>
  <si>
    <t>2008 Baseline Markup</t>
  </si>
  <si>
    <t>2009 Baseline Markup</t>
  </si>
  <si>
    <t>Average Baseline Markup</t>
  </si>
  <si>
    <t>2006 Incremental Markup</t>
  </si>
  <si>
    <t>2007 Incremental Markup</t>
  </si>
  <si>
    <t>2008 Incremental Markup</t>
  </si>
  <si>
    <t>2009 Incremental Markup</t>
  </si>
  <si>
    <t>2006 Operating Profit</t>
  </si>
  <si>
    <t>2007 Operating Profit</t>
  </si>
  <si>
    <t>2008 Operating Profit</t>
  </si>
  <si>
    <t>2009 Operating Profit</t>
  </si>
  <si>
    <t>Average Incremental Markup</t>
  </si>
  <si>
    <t>Page 7 Units = Swedish Krona</t>
  </si>
  <si>
    <t>Page 69; SG&amp;A on Page 86</t>
  </si>
  <si>
    <t>Page 1 for the nine months ended sept. 30, 2009, under "IR Ireland Consolidated"</t>
  </si>
  <si>
    <t>Page F-7; Units = yen</t>
  </si>
  <si>
    <t>Page 80</t>
  </si>
  <si>
    <t>Page 7; Units = yen</t>
  </si>
  <si>
    <t>Page 64</t>
  </si>
  <si>
    <t>Formal income statement unavailable in this filing, so used posted sales, GM$, and SG&amp;A costs; Units = Euro</t>
  </si>
  <si>
    <t>Consolidated Statements of Operations</t>
  </si>
  <si>
    <t>Page 19</t>
  </si>
  <si>
    <t>Test Results Summary</t>
  </si>
  <si>
    <t>Nameplate_P_out_(W)</t>
  </si>
  <si>
    <t>Avg_Eff_(%)</t>
  </si>
  <si>
    <t>P_in_at_0%_load_(W)_summary</t>
  </si>
  <si>
    <t>CSL0 Active</t>
  </si>
  <si>
    <t>meets CSL0 active</t>
  </si>
  <si>
    <t>meets CSL0 No load</t>
  </si>
  <si>
    <t>meets csl0</t>
  </si>
  <si>
    <t>meets CSL0</t>
  </si>
  <si>
    <t>CSL1 no load</t>
  </si>
  <si>
    <t>meets CSL1 active</t>
  </si>
  <si>
    <t>meets CSL1 No load</t>
  </si>
  <si>
    <t>meets CSL1</t>
  </si>
  <si>
    <t>CSL2 Active</t>
  </si>
  <si>
    <t>meets CSL2 active</t>
  </si>
  <si>
    <t>Meets CSL2 no load</t>
  </si>
  <si>
    <t>meets csl2</t>
  </si>
  <si>
    <t>NA</t>
  </si>
  <si>
    <t>CSL0</t>
  </si>
  <si>
    <t>CSL1</t>
  </si>
  <si>
    <t>CSL2</t>
  </si>
  <si>
    <t>CSL3</t>
  </si>
  <si>
    <t>U.S. Department of Energy</t>
  </si>
  <si>
    <t>Energy Conservation Standards Rulemaking - Battery Chargers and External Power Supplies</t>
  </si>
  <si>
    <t>Preliminary Analysis</t>
  </si>
  <si>
    <t>RIN 1904 AB57</t>
  </si>
  <si>
    <t>DOCKET EERE-2008-BT-STD-0005</t>
  </si>
  <si>
    <t>Last updated:</t>
  </si>
  <si>
    <t>Overview and Instructions</t>
  </si>
  <si>
    <t>Tab</t>
  </si>
  <si>
    <t>Overview</t>
  </si>
  <si>
    <t>EPS Efficiency Distribution</t>
  </si>
  <si>
    <t>BC Efficiency Distribution</t>
  </si>
  <si>
    <t>Markup Sources</t>
  </si>
  <si>
    <t>2008 Shipments
(Base Year)</t>
  </si>
  <si>
    <t>Blood Pressure Monitors</t>
  </si>
  <si>
    <t>[V]</t>
  </si>
  <si>
    <t>[Wh]</t>
  </si>
  <si>
    <t>[W]</t>
  </si>
  <si>
    <t>United States:</t>
  </si>
  <si>
    <t>Market Outputs</t>
  </si>
  <si>
    <t>Columns E-M contain up to three source for the lifetime of each application. BC and EPS lifetimes for each application are then calculated in columns N and O.</t>
  </si>
  <si>
    <t>Estimate based on Global Industry Insight's sales figures and product survey.</t>
  </si>
  <si>
    <t>Lifetimes A [years]</t>
  </si>
  <si>
    <t>Lifetimes B [years]</t>
  </si>
  <si>
    <t>Lifetimes C [years]</t>
  </si>
  <si>
    <r>
      <t xml:space="preserve">U.S. Census Bureau. </t>
    </r>
    <r>
      <rPr>
        <i/>
        <sz val="10"/>
        <rFont val="Arial"/>
        <family val="2"/>
      </rPr>
      <t>Table 1. Annual Estimates of the Population for the United States, Regions, States, and Puerto Rico: April 1, 2000 to July 1, 2009.</t>
    </r>
    <r>
      <rPr>
        <sz val="10"/>
        <rFont val="Arial"/>
        <family val="2"/>
      </rPr>
      <t xml:space="preserve"> 2009. (Last accessed July 14, 2010.) &lt;http://www.census.gov/popest/states/tables/NST-EST2009-01.xls&gt;</t>
    </r>
  </si>
  <si>
    <r>
      <t xml:space="preserve">The Sales Tax Clearinghouse. </t>
    </r>
    <r>
      <rPr>
        <i/>
        <sz val="10"/>
        <rFont val="Arial"/>
        <family val="2"/>
      </rPr>
      <t xml:space="preserve">State Sales Tax Rates. </t>
    </r>
    <r>
      <rPr>
        <sz val="10"/>
        <rFont val="Arial"/>
        <family val="2"/>
      </rPr>
      <t>2010. (Last accessed March 3, 2010.) &lt;https://thestc.com/STRates.stm&gt;</t>
    </r>
  </si>
  <si>
    <t xml:space="preserve">Consumer Electronics Marketers of Canada. Consumer Electronics Market Trends and Forecast. March 2009. Electro-Federation Canada: Toronto, ON. </t>
  </si>
  <si>
    <t>Darnell Group. External AC-DC Power Supplies: Worldwide Forecasts. 3rd ed. May 2008. The Darnell Group: Corona, CA.</t>
  </si>
  <si>
    <t xml:space="preserve"> Estimate based on: Kaiser, Sheryl. Child Safety Gate. First Baby Mall. (Last accessed July 15, 2010.) &lt;http://www.firstbabymall.com/product/gate.htm&gt;; and National Center for Health Statistics. U.S. Centers for Disease Control and Prevention. FastStats: Births and Natality. 2006. (Last accessed July 15, 2010.) &lt;http://www.cdc.gov/nchs/fastats/births.htm&gt;</t>
  </si>
  <si>
    <t>Estimate based on: National Center for Health Statistics. U.S. Centers for Disease Control and Prevention. FastStats: Births and Natality. 2006. (Last accessed July 15, 2010.) &lt;http://www.cdc.gov/nchs/fastats/births.htm&gt;</t>
  </si>
  <si>
    <t>Births in 2006 4.6 M</t>
  </si>
  <si>
    <t>Consumer Electronics Association. US Consumer Electronics Sales and Forecasts 2005-2010. July 2009. Consumer Electronics Association: Arlington, VA.</t>
  </si>
  <si>
    <t xml:space="preserve"> Somheil, Tom. 32nd Annual Portrait of the U.S. Appliance Industry. In Appliance Magazine.  September 2009. 66(7): p. 34. Canon Communications, LLC: Los Angeles, CA.</t>
  </si>
  <si>
    <t xml:space="preserve">Goodman, David. An Electric Boost for Bicyclists. The New York Times. February 1, 2010. &lt;http://www.nytimes.com/2010/02/01/business/global/01ebike.html&gt; </t>
  </si>
  <si>
    <t>International Market Solutions. Golf Car-Type Vehicles and the Emerging Market for Small, Task-Oriented Vehicles in the United States; Trends 2000-2006, 2007 Estimates &amp; Forecasts to 2012. December 2007. International Market Solutions, LLC.: New York, NY.</t>
  </si>
  <si>
    <t>Schirm, Jeffrey. Personal communication. Philips Electronics, Washington, DC. Phone call with Matthew Jones, D&amp;R International. December 15, 2008.</t>
  </si>
  <si>
    <t>American Radio Relay League. Personal communication with Matt Jones, D&amp;R International. August 2008.</t>
  </si>
  <si>
    <t>U.S. Department of Energy. FY05 Rulemaking - Appendix A9.</t>
  </si>
  <si>
    <t>Estimate for "Portable Audio", subtracting for increased wear and tear</t>
  </si>
  <si>
    <t>TIAX, LLC. Assessment of Analyses Performed for the California Energy Efficiency Regulations for Consumer Electronics Products. February 2, 2006. TIAX, LLC: Cambridge, MA.</t>
  </si>
  <si>
    <t>Pacific Gas and Electric Company, et al. BCEPS Framework Document Public Comment No. 20. p 11. July 27, 2008.</t>
  </si>
  <si>
    <t>Somheil, Tom. 32nd Annual Portrait of the U.S. Appliance Industry. In Appliance Magazine.  September 2009. 66(7): p. 34. Canon Communications, LLC: Los Angeles, CA.</t>
  </si>
  <si>
    <r>
      <t xml:space="preserve">Southwest Garden Arts. </t>
    </r>
    <r>
      <rPr>
        <i/>
        <sz val="10"/>
        <rFont val="Arial"/>
        <family val="2"/>
      </rPr>
      <t>FAQ</t>
    </r>
    <r>
      <rPr>
        <sz val="10"/>
        <rFont val="Arial"/>
        <family val="2"/>
      </rPr>
      <t>. February 26, 2008. (Last accessed July, 14 2010.) &lt;http://www.arizonafountains.com/FAQ.htm&gt;</t>
    </r>
  </si>
  <si>
    <t>Southwest Garden Arts. FAQ. February 26, 2008. (Last accessed July, 14 2010.) &lt;http://www.arizonafountains.com/FAQ.htm&gt;</t>
  </si>
  <si>
    <t>Graystone Creations. Frequently Asked Questions. (Last accessed July 15, 2010.)  &lt;http://www.graystonecreations.com/definitions.htm&gt;</t>
  </si>
  <si>
    <t>PTI. Market data and technical design information for the U.S. Department of Energy’s determination analysis on battery chargers (BC) and external power supplies (EPS). Meeting with D.O.E. June 26, 2006.</t>
  </si>
  <si>
    <t>Clairmont, Kristy. PMA Data Watch: DSLR purchasers most likely to be purchasing an additional camera. June 22, 2009. (Last accessed July 15, 2010.) &lt;http://pmaforesight.com/?p=120&gt;</t>
  </si>
  <si>
    <t>Bed Bath &amp; Beyond Inc. Form 10-KA. 2009. (Last accessed July 14, 2010.) &lt;http://sec.gov/Archives/edgar/data/886158/000110465909031840/a09-12637_110ka.htm#Item8FinancialStatementsAndSupple_020107&gt;</t>
  </si>
  <si>
    <t>Best Buy Co., Inc. Form 10-K. 2009. (Last accessed July 14, 2010.) &lt;http://sec.gov/Archives/edgar/data/764478/000104746909004730/a2192410z10-k.htm&gt;</t>
  </si>
  <si>
    <t>The Black and Decker Corporation. Form 10-K. 2008. (Last accessed July 14, 2010.) &lt;http://sec.gov/Archives/edgar/data/12355/000001235509000007/form10k12312008a.htm&gt;</t>
  </si>
  <si>
    <t>Brink’s Home Security Holdings, Inc. Form 10-K. 2008. (Last accessed July 14, 2010.) &lt;http://sec.gov/Archives/edgar/data/1436040/000119312509069302/d10k.htm&gt;</t>
  </si>
  <si>
    <t>Brother. Consolidated Statement of Income. 2009. (Last accessed July 14, 2010.) &lt;http://pub.brother.com/pub/com/investor/annual/pdf/2009/consolidated_statements_of_income.pdf&gt;</t>
  </si>
  <si>
    <t>Canon Inc. Form 20-F. 2008. (Last accessed July 14, 2010.) &lt;http://sec.gov/Archives/edgar/data/16988/000114554909000526/k02057e20vf.htm&gt;</t>
  </si>
  <si>
    <t>Costco Wholesale Corporation. Form 10-K. 2009. (Last accessed July 14, 2010.) &lt;http://sec.gov/Archives/edgar/data/909832/000119312509208963/d10k.htm&gt;</t>
  </si>
  <si>
    <t>Covidien Public Limited Company. Form 10-K. 2009. (Last accessed July 14, 2010.) &lt;http://sec.gov/Archives/edgar/data/1385187/000119312509239236/d10k.htm&gt;</t>
  </si>
  <si>
    <t>CVS Caremark Corporation. Portions of the 2008 Annual Report to Stockholders. 2008. (Last accessed July 14, 2010.) &lt;http://sec.gov/Archives/edgar/data/64803/000119312509041089/dex13.htm&gt;</t>
  </si>
  <si>
    <t>Dell Inc. Form 10-K. 2009. (Last accessed July 14, 2010.) &lt;http://sec.gov/Archives/edgar/data/826083/000095013409006106/d66204e10vk.htm&gt;</t>
  </si>
  <si>
    <t>Electrolux. Annual Report 2008. 2008. (Last accessed July 14, 2010.) &lt;http://ir.electrolux.com/files/Electrolux_Annual_Report2008_Part2.pdf&gt;</t>
  </si>
  <si>
    <t>Seiko Epson. Consolidated Financial Statements. 2009. (Last accessed July 14, 2010.) &lt;http://global.epson.com/IR/ann_report/ar2009/pdf/09.pdf&gt;</t>
  </si>
  <si>
    <t>GameStop Corp. Form 10-K. 2009. (Last accessed July 14, 2010.) &lt;http://sec.gov/Archives/edgar/data/1326380/000095013409006730/d66430e10vk.htm&gt;</t>
  </si>
  <si>
    <t>Garmin LTD. Form 10-K. 2008. (Last accessed July 14, 2010.) &lt;http://sec.gov/Archives/edgar/data/1121788/000114420409010751/v141191_10k.htm&gt;</t>
  </si>
  <si>
    <t>General Electric Company. Form 10-K. 2009. (Last accessed July 14, 2010.) &lt;http://sec.gov/Archives/edgar/data/40545/000004054509000012/frm10k.htm&gt;</t>
  </si>
  <si>
    <t>Henry Schein, Inc. Form 10-K. December 2008. (Last accessed July 14, 2010.) &lt;http://sec.gov/Archives/edgar/data/1000228/000100022809000011/the10_k2008final.htm&gt;</t>
  </si>
  <si>
    <t>Hewlett-Packard Company. Form 10-K. October 2009. (Last accessed July 14, 2010.) &lt;http://sec.gov/Archives/edgar/data/47217/000104746909010806/a2195472z10-k.htm&gt;</t>
  </si>
  <si>
    <t>Hitachi, Ltd. Form 20-F. March 2009. (Last accessed July 14, 2010.) &lt;http://sec.gov/Archives/edgar/data/47710/000119312509155317/d20f.htm&gt;</t>
  </si>
  <si>
    <t>Honeywell International Inc. Form 10-K. December 2008. (Last accessed July 14, 2010.) &lt;http://sec.gov/Archives/edgar/data/773840/000093041309000801/c56028_10k.htm&gt;</t>
  </si>
  <si>
    <t>Ingersoll-Rand PLC. Form 10-Q. September 2009. (Last accessed July 14, 2010.) &lt;http://sec.gov/Archives/edgar/data/1466258/000119312509226774/d10q.htm&gt;</t>
  </si>
  <si>
    <t>iRobot Corporation. Form 10-K. December 2008. (Last accessed July 14, 2010.) &lt;http://sec.gov/Archives/edgar/data/1159167/000095013509000964/b73459ice10vk.htm&gt;</t>
  </si>
  <si>
    <t>JVC Kenwood Holdings. Financial Report for the Fiscal Year Ended March 2009. April 28, 2009. (Last accessed July 14, 2010.) &lt;http://www.jk-holdings.com/en/press/2009/04/press_090428_02.pdf&gt;</t>
  </si>
  <si>
    <t>Eastman Kodak Company. Form 10-K. December 2009. (Last accessed July 14, 2010.) &lt;http://sec.gov/Archives/edgar/data/31235/000003123509000028/ek123108_10k.htm&gt;</t>
  </si>
  <si>
    <t>Lexmark International, Ltd. Form 10-K. December 2008. (Last accessed July 14, 2010.) &lt;http://sec.gov/Archives/edgar/data/1001288/000095015209001964/l35086ae10vk.htm&gt;</t>
  </si>
  <si>
    <t>LG Electronics Inc. 2008 Consolidated Financial Statement. 2008. (Last accessed July 14, 2010.) &lt;http://lg.com/investor/financials/financials01.jsp&gt;</t>
  </si>
  <si>
    <t>Logitech International S.A. Form 10-K. March 2009. (Last accessed July 14, 2010.) &lt;http://sec.gov/Archives/edgar/data/1032975/000120677409001138/logitech_10k.htm&gt;</t>
  </si>
  <si>
    <t>Lowe’s. “Consolidated Statement of Earnings,” Exhibit 13 – Portions of Lowe’s 2008 Annual Report to Shareholders. 2008. (Last accessed July 14, 2010.) &lt;http://sec.gov/Archives/edgar/data/60667/000006066709000036/exhibit13.htm&gt;</t>
  </si>
  <si>
    <t>Makita Corporation. Form 20-F. March 2008. (Last accessed July 14, 2010.) &lt;http://sec.gov/Archives/edgar/data/202467/000114554908001271/k01629e20vf.htm&gt;</t>
  </si>
  <si>
    <t>Mattel, Inc. Form 10-K. December 2008. (Last accessed July 14, 2010.) &lt;http://sec.gov/Archives/edgar/data/63276/000119312509038925/d10k.htm&gt;</t>
  </si>
  <si>
    <t>Motorola, Inc. Form 10-K. December 2008. (Last accessed July 14, 2010.) &lt;http://sec.gov/Archives/edgar/data/68505/000095013709001324/c49054e10vk.htm&gt;</t>
  </si>
  <si>
    <t>Napco Security Technologies, Inc. Form 10-K. June 2008. (Last accessed July 14, 2010.) &lt;http://sec.gov/Archives/edgar/data/69633/000115752309006870/a6071104.txt&gt;</t>
  </si>
  <si>
    <t>Netgear, Inc. Form 10-K. December 2008. (Last accessed July 14, 2010.) &lt;http://sec.gov/Archives/edgar/data/1122904/000119312509044252/d10k.htm&gt;</t>
  </si>
  <si>
    <t>Nikon. Consolidated Statements of Income. Nikon Annual Report 2009. p. 30. 2009. (Last accessed July 14, 2010.) &lt;http://nikon.com/about/ir/ir_library/ar/pdf/ar2009/09annual_e10.pdf</t>
  </si>
  <si>
    <t>Nintendo. Consolidated Statements of Income. Nintendo Annual Report 2008. p. 22. 2008. (Last accessed July 14, 2010.) &lt;http://www.nintendo.co.jp/ir/pdf/2008/annual0803e.pdf&gt;</t>
  </si>
  <si>
    <t>Nokia Corporation. Form 20-F. December 2008. (Last accessed July 14, 2010.) &lt;http://sec.gov/Archives/edgar/data/924613/000115697309000127/u06062e20vf.htm&gt;</t>
  </si>
  <si>
    <t>OZC Technology Group, Inc. Form 10-Q. November 2009. (Last accessed July 14, 2010.) &lt;http://app.quotemedia.com/quotetools/showFiling.go?webmasterId=93303&amp;name=OCZ%20TECHNOLOGY%20GROUP%20INC:%2010-Q,%20Sub-Doc%201&amp;link=http%3A//quotemedia.10kwizard.com/filing.xml%3Frid%3D12%26ipage%3D6697420%26DSEQ%3D1%26SQDESC%3DSECTION_BODY%26doc%3D1&amp;cp=on&amp;type=HTML&gt;</t>
  </si>
  <si>
    <t>Office Depot, Inc. Form 10-K. December 2008. (Last accessed July 14, 2010.) &lt;http://sec.gov/Archives/edgar/data/800240/000095014409001556/g17711e10vk.htm&gt;</t>
  </si>
  <si>
    <t>Olympus Global. Financial Section. Olympus-Global Annual Report 2009. p 7. 2009. (Last accessed July 14, 2010.) &lt;http://www.olympus-global.com/en/corc/ir/annualreport/2009/pdf/12.pdf&gt;</t>
  </si>
  <si>
    <t>Omron. Omron Annual Report 2009. p 52. 2009. (Last accessed July 14, 2010.) &lt;http://www.omron.com/ir/pdfs/ar09e/ar2009e.pdf&gt;</t>
  </si>
  <si>
    <t>Owens &amp; Minor, Inc. Form 10-K. December 2008. (Last accessed July 14, 2010.) &lt;http://sec.gov/Archives/edgar/data/75252/000119312509041161/d10k.htm&gt;</t>
  </si>
  <si>
    <t>Palm, Inc. Form 10-K. May 2009. (Last accessed July 14, 2010.) &lt;http://sec.gov/Archives/edgar/data/1100389/000119312509154807/d10k.htm&gt;</t>
  </si>
  <si>
    <t>Panasonic Corporation. Form 20-F. March 2009. (Last accessed July 14, 2010.) &lt;http://sec.gov/Archives/edgar/data/63271/000119312509141165/d20f.htm&gt;</t>
  </si>
  <si>
    <t>The Pep Boys—Manny, Moe &amp; Jack. Form 10K. January 2009. (Last accessed July 14, 2010.) &lt;http://sec.gov/Archives/edgar/data/77449/000104746909004183/a2192218z10-k.htm&gt;</t>
  </si>
  <si>
    <t>Royal Philips Electronics N.V. Form 20-F. December 2008. (Last accessed July 14, 2010.) &lt;http://sec.gov/Archives/edgar/data/313216/000115697309000099/u06127e20vf.htm#108&gt;</t>
  </si>
  <si>
    <t>PSS World Medical, Inc. Form 10-K. March 2009. (Last accessed July 14, 2010.) &lt;http://sec.gov/Archives/edgar/data/920527/000119312509115764/d10k.htm&gt;</t>
  </si>
  <si>
    <t>RadioShack Corporation. Form 10-K. December 2008. (Last accessed July 14, 2010.) &lt;http://sec.gov/Archives/edgar/data/96289/000009628909000004/form10k123108.htm&gt;</t>
  </si>
  <si>
    <t>Research in Motion, Ltd. Audited Consolidated Financial Statements for the fiscal year ended February 28, 2009. February 2009. (Last accessed July 14, 2010.) &lt;http://sec.gov/Archives/edgar/data/1070235/000090956709000337/o54602aexv1w2.htm&gt;</t>
  </si>
  <si>
    <t>ResMed, Inc. Form 10-K. June 2009. (Last accessed July 14, 2010.) &lt;http://sec.gov/Archives/edgar/data/943819/000119312509179280/d10k.htm&gt;</t>
  </si>
  <si>
    <t>Rite Aid Corporation. Form 10-K. February 2009. (Last accessed July 14, 2010.) &lt;http://sec.gov/Archives/edgar/data/84129/000104746909004278/a2192156z10-k.htm&gt;</t>
  </si>
  <si>
    <t>Samsung. 2008 Samsung Electronics Annual Report. p 52. 2008. (Last accessed July 14, 2010.) &lt;http://www.samsung.com/us/aboutsamsung/corporateprofile/download/SE2008_eng_final.pdf&gt;</t>
  </si>
  <si>
    <t>SanDisk Corporation. Form 10-K/A. December 2008. (Last accessed July 14, 2010.) &lt;http://sec.gov/Archives/edgar/data/1000180/000100018009000014/form_10ka.htm&gt;</t>
  </si>
  <si>
    <t>Schneider Electric. 2008 Annual Report. p 108. 2008. (Last accessed July 14, 2010.) &lt;http://www.schneider-electric.com/documents/presentation/en/local/2009/04/ra2008-schneider-electric-en.pdf&gt;</t>
  </si>
  <si>
    <t>Sears Holdings Corporation. Form 10-K. January 2009. (Last accessed July 14, 2010.) &lt;http://sec.gov/Archives/edgar/data/1310067/000119312509055685/d10k.htm&gt;</t>
  </si>
  <si>
    <t>Sony Corporation. Form 20-F. March 2009. (Last accessed July 14, 2010.) &lt;http://sec.gov/Archives/edgar/data/313838/000095012309016105/k02095e20vf.htm&gt;</t>
  </si>
  <si>
    <t>Sprint Nextel Corporation. Form 10-K. December 2008. (Last accessed July 14, 2010.) &lt;http://sec.gov/Archives/edgar/data/101830/000119312509040575/d10k.htm&gt;</t>
  </si>
  <si>
    <t>Staples, Inc. Form 10-K. January 2009. (Last accessed July 14, 2010.) &lt;http://sec.gov/Archives/edgar/data/791519/000104746909002449/a2191264z10-k.htm&gt;</t>
  </si>
  <si>
    <t>Systemax Inc. Form 10-K. December 2008. (Last accessed July 14, 2010.) &lt;http://sec.gov/Archives/edgar/data/945114/000110465909018624/a09-1779_110k.htm&gt;</t>
  </si>
  <si>
    <t>Target Corporation. Form 10-K. January 2009. (Last accessed July 14, 2010.) &lt;http://sec.gov/Archives/edgar/data/27419/000104746909002623/a2190597z10-k.htm&gt;</t>
  </si>
  <si>
    <t>Textron Inc. Form 10-K. January 2009. (Last accessed July 14, 2010.) &lt;http://sec.gov/Archives/edgar/data/217346/000095013509001252/b74351tie10vk.htm&gt;</t>
  </si>
  <si>
    <t>The Home Depot, Inc. Form 10-K. February 2009. (Last accessed July 14, 2010.) &lt;http://sec.gov/Archives/edgar/data/354950/000095014409002875/x17422e10vk.htm&gt;</t>
  </si>
  <si>
    <t>TomTom International BV. Financial Data. Investor Relations. 2010. (Last accessed July 14, 2010.)  &lt;http://investors.tomtom.com/facts.cfm?smode=yearly&gt;</t>
  </si>
  <si>
    <t>The Toro Company. Form 10-K. October 2009. (Last accessed July 14, 2010.) &lt;http://sec.gov/Archives/edgar/data/737758/000104746909010874/a2195867z10-k.htm&gt;</t>
  </si>
  <si>
    <t>Toshiba Corporation.  2009 Financial Review p 2. 2009. (Last accessed July 14, 2010.) &lt;http://www.toshiba.co.jp/about/ir/en/library/ar/ar2009/tar2009e_17.pdf&gt;</t>
  </si>
  <si>
    <t>Toys “R” Us, Inc. Form 10-K. January 2009. (Last accessed July 14, 2010.) &lt;http://sec.gov/Archives/edgar/data/1005414/000095012309005856/y75530e10vk.htm&gt;</t>
  </si>
  <si>
    <t>Tyco International Ltd. Form 10-K. September 2009. (Last accessed July 14, 2010.) &lt;http://sec.gov/Archives/edgar/data/833444/000104746909010234/a2195016z10-k.htm&gt;</t>
  </si>
  <si>
    <t>Verizon. Portions of Verizon’s Annual Report to Shareholders. 2008. (Last accessed July 14, 2010.) &lt;http://sec.gov/Archives/edgar/data/732712/000119312509036349/dex13.htm&gt;</t>
  </si>
  <si>
    <t>VTech Holdings Ltd. Annual Report 2009. p 34. 2009. (Last accessed July 14, 2010.) &lt;http://www.vtech.com/investor_relations/reports/FY2009_Annual_Report_Eng.pdf&gt;</t>
  </si>
  <si>
    <t>Walgreen Co. and Subsidiaries. 2009 Annual Report. August 2009. (Last accessed July 14, 2010.),http://sec.gov/Archives/edgar/data/104207/000010420709000124/exhibit_13.htm&gt;</t>
  </si>
  <si>
    <t>Wal-Mart Stores, Inc. Portions of the Annual Report. January 2010. (Last accessed July 14, 2010.) &lt;http://sec.gov/Archives/edgar/data/104169/000119312510071652/dex13.htm&gt;</t>
  </si>
  <si>
    <t>Western Digital Corporation. Form 10-K. July 2009. (Last accessed July 14, 2010.) &lt;http://sec.gov/Archives/edgar/data/106040/000095012309034923/a53306e10vk.htm&gt;</t>
  </si>
  <si>
    <t>Whirlpool Corporation. Form 10-K. December 2008. (Last accessed July 14, 2010.) &lt;http://sec.gov/Archives/edgar/data/106640/000119312509032852/d10k.htm&gt;</t>
  </si>
  <si>
    <t>Yamaha Corporation. Consolidated Basis. April 30, 2009. (Last accessed July 14, 2010.) &lt;http://www.global.yamaha.com/ir/report/pdf-data/2009/frepo-2009-q4.pdf&gt;</t>
  </si>
  <si>
    <t>Arrow Electronics, Inc. Form 10-K. December 2008. (Last accessed July 14, 2010.) &lt;http://sec.gov/Archives/edgar/data/7536/000095012309003515/y74529e10vk.htm&gt;</t>
  </si>
  <si>
    <t>Avnet, Inc. Form 10-K. June 2009 (Last accessed July 14, 2010.) &lt;http://sec.gov/Archives/edgar/data/8858/000095012309037904/p15665e10vk.htm&gt;</t>
  </si>
  <si>
    <t>Bell Microproducts Inc. Form 10-K. December 2008. (Last accessed July 14, 2010.) &lt;http://sec.gov/Archives/edgar/data/900708/000119312509139915/d10k.htm&gt;</t>
  </si>
  <si>
    <t>Nu Horizons Electronics Corp. Form 10-K. February 2009. (Last accessed July 14, 2010.) &lt;http://sec.gov/Archives/edgar/data/718074/000114420409022970/v147330_10-k.htm&gt;</t>
  </si>
  <si>
    <t>Product Surey</t>
  </si>
  <si>
    <t>The Music Trades Online. The Annual Census of the Music Industries. 2008. &lt;http://www.musictrades.com/census.html&gt;</t>
  </si>
  <si>
    <t>Lists all tested EPSs and, based on efficiency testing, determines the highest CSL met by each. The resulting distribution of EPSs is weighted by application shipments and used as an estimate of the 2009 energy efficiency distribution.</t>
  </si>
  <si>
    <t>Baseline Markups by Product Category</t>
  </si>
  <si>
    <t>Incremental Markups by Product Category</t>
  </si>
  <si>
    <t>The Markup Sources tab uses Securities and Exchange Commission filings and corporate annual reports to derive markups for companies that manufacture, sell, and/or distribute BCEPS applications. Column A lists the company name. Columns B-M list financial data (revenue, COGS, SG&amp;A) for multiple years. Columns AA and AB present the baseline and incremental markups for each company considered, and columns AF and AG indicate whether or not the company is a manufacturer or retailer of BCEPS applications.</t>
  </si>
  <si>
    <t>These tabs categorize the companies in the "Markup Sources" tab based on the types of products they are assumed to sell in significant volume. For each product category, a manufacturer, retailer, and composite markup is calculated.</t>
  </si>
  <si>
    <t>Weights state and local sales taxes by population to derive a population-weighted average sales tax for the United States.</t>
  </si>
  <si>
    <t>Market Assessment and Product Price Determination Workbook</t>
  </si>
  <si>
    <t>PreAn Consensus</t>
  </si>
  <si>
    <t>Estimate based on: Consumer Electronics Marketers of Canada. Consumer Electronics Market Trends and Forecast. March 2009. Electro-Federation Canada: Toronto, ON.; and Consumer Electronics Association. US Consumer Electronics Sales and Forecasts 2005-2010. July 2009. Consumer Electronics Association: Arlington, VA.</t>
  </si>
  <si>
    <t>NAMM. Music USA NAMM Global Report. 2008. The International Music Products Association; Carlsbad, CA.</t>
  </si>
  <si>
    <t xml:space="preserve">Whitney, Lance. Netbook sales to rise as notebooks fall flat. In CNET News. July 13, 2009. (Last accessed July 15, 2010.) &lt;ttp://news.cnet.com/8301-1001_3-10285189-92.html?tag=mncol&gt; </t>
  </si>
  <si>
    <t>Consumer Electronics Association. US Consumer Electronics Sales and Forecasts 2004-2009. July 2008. Consumer Electronics Association: Arlington, VA.</t>
  </si>
  <si>
    <t>Estimate of Wall Adapters with cordless phones from detailed CEA data. Ely, Chris. Personal Communication. Consumer Electronics Association. Email to Matt Jones, D&amp;R International. September 22, 2009.</t>
  </si>
  <si>
    <t>Orland, Kyle. February NPD data shows DS, Wii on top. March 16, 2007. (Last accessed July 14, 2010.) &lt;http://www.joystiq.com/2007/03/16/february-npd-data-show-ds-wii-on-top/&gt;</t>
  </si>
  <si>
    <t>Marketstrat, Inc. Total Powered Mobility Aids Market - United States (2004 - 2012). 2006. p. 225. Marketstrat, Inc.: Fremont, CA.</t>
  </si>
  <si>
    <t>NOPR Consensus</t>
  </si>
  <si>
    <t>(2.5W, 5V)</t>
  </si>
  <si>
    <t>(18W, 12V)</t>
  </si>
  <si>
    <t>(60W, 15V)</t>
  </si>
  <si>
    <t>(120W, 19V)</t>
  </si>
  <si>
    <t>&gt;250 W</t>
  </si>
  <si>
    <t>MSO, all wattages</t>
  </si>
  <si>
    <t>% EPS Shipments by Product Class</t>
  </si>
  <si>
    <t>% Battery Charger Shipments by Product Class</t>
  </si>
  <si>
    <t>General EPS</t>
  </si>
  <si>
    <t>General BC</t>
  </si>
  <si>
    <t>#</t>
  </si>
  <si>
    <t>2010 Shipments</t>
  </si>
  <si>
    <t>2011 Shipments (projected)</t>
  </si>
  <si>
    <t>Total Battery Charger Shipments by Product Class</t>
  </si>
  <si>
    <t>Residential Battery Charger Shipments by Product Class</t>
  </si>
  <si>
    <t>Commercial Battery Charger Shipments by Product Class</t>
  </si>
  <si>
    <t>Sector</t>
  </si>
  <si>
    <t>Residential</t>
  </si>
  <si>
    <t>Commercial</t>
  </si>
  <si>
    <t>Low</t>
  </si>
  <si>
    <t>High</t>
  </si>
  <si>
    <t>Commercial Shipments?</t>
  </si>
  <si>
    <t>N</t>
  </si>
  <si>
    <t>Y</t>
  </si>
  <si>
    <t>LED Monitors</t>
  </si>
  <si>
    <t>Smartphone</t>
  </si>
  <si>
    <t>Wireless Charging Stations</t>
  </si>
  <si>
    <t>Portable O2 Concentrator</t>
  </si>
  <si>
    <t>Sleep Apnea Machines</t>
  </si>
  <si>
    <t>Medical Nebulizers</t>
  </si>
  <si>
    <t>Portable O2 Concentrators</t>
  </si>
  <si>
    <t>Mobile Internet Hotspots</t>
  </si>
  <si>
    <t>Sales to dealers of "Home and Clock Radios"</t>
  </si>
  <si>
    <t>"CEA forecasts… shipments doubling this year to 8.4 million units." p.8</t>
  </si>
  <si>
    <t>Sales to dealers of "Aftermarket Computer Monitors". Includes other topologies, e.g. LCD.</t>
  </si>
  <si>
    <t>Sales to dealers of "Modems/Broadband Gateways"</t>
  </si>
  <si>
    <t>"Includes: Analog telephone adapters and embedded multimedia terminal adapters"</t>
  </si>
  <si>
    <t>CEA expects unit volumes to slowly decline through 2014</t>
  </si>
  <si>
    <t>Sales to dealers of "Portable Media/MP3 Players"</t>
  </si>
  <si>
    <t>"Includes: Electric handheld device integrating the features/functions of a mobile phone, personal digital assistant (PD) or other information appliance"</t>
  </si>
  <si>
    <t>Commercial Sector</t>
  </si>
  <si>
    <t>Assumes inkjets account for 83% of annual US printer shipments (NCI 2009, pg 392)</t>
  </si>
  <si>
    <t>Total installed base of inkjets in 2008 was 75,848,000, of which 12,848,000 were in the commercial sector.</t>
  </si>
  <si>
    <t>NCI Report cites Sanchez, et al. (2007)</t>
  </si>
  <si>
    <t>EPA. ENERGY STAR Uninterruptible Power Supply (UPS) Version 1.0: Kickoff Meeting. March 24, 2010. &lt;http://www.energystar.gov/ia/partners/prod_development/new_specs/downloads/uninterruptible_power_supplies/Stakeholder_Presentation032410.pdf&gt;</t>
  </si>
  <si>
    <t>Shipments estimated for 2009-10. Shipments for all of North America.</t>
  </si>
  <si>
    <t>Shipments for total portable keyboards (over $199 and under $199).</t>
  </si>
  <si>
    <t>Shipments for multi-effects floor processors and stomp boxes</t>
  </si>
  <si>
    <t>Shipments for "Rack-Mounted Processors" including" compressors, limiters, pre-amps, Eqs and multi-effects.</t>
  </si>
  <si>
    <t>Derived from annual sales dollars and market-share-weighted-average console price</t>
  </si>
  <si>
    <t>Greuner, Wolfgang. “The Xbox 360 Will Win the Console Wars.” Tom’s Guide.com. April 1, 2010. Accessed October 28, 2010 at &lt;http://www.tomsguide.com/us/xbox-360-ps3-wii,news-6314.html&gt;</t>
  </si>
  <si>
    <t>Combined 2009 market share of the Nintendo Wii and Microsoft Xbox 360</t>
  </si>
  <si>
    <t>Specs for Xbox 360</t>
  </si>
  <si>
    <t>Multi-voltage</t>
  </si>
  <si>
    <t>2010 Shipments (estimated)</t>
  </si>
  <si>
    <t>Base Year (2008) Shipments</t>
  </si>
  <si>
    <t>PS3s ship with a wireless controller that can be recharged via USB connection to the console</t>
  </si>
  <si>
    <t>`</t>
  </si>
  <si>
    <t>Based on duration of data plan contract with service provider</t>
  </si>
  <si>
    <t>Rechargeable Garden Care Products</t>
  </si>
  <si>
    <t>Medical EPS</t>
  </si>
  <si>
    <t xml:space="preserve">Whitney, Lance. Netbook sales to rise as notebooks fall flat. In CNET News. July 13, 2009. (Last accessed July 15, 2010.) &lt;http://news.cnet.com/8301-1001_3-10285189-92.html?tag=mncol&gt; </t>
  </si>
  <si>
    <t>International Market Solutions (2007), pg 123</t>
  </si>
  <si>
    <t>Design life for product category "Auto/Marin/RV"</t>
  </si>
  <si>
    <t>Pacific Gas and Electric Company, et al. BCEPS Framework Document Public Comment No. 20. p 10. July 27, 2008.</t>
  </si>
  <si>
    <t>Design life for product category "Peronal Electric Vehicles"</t>
  </si>
  <si>
    <t>Design life for product category "Golf Carts/Elecrtric Carts"</t>
  </si>
  <si>
    <t>Design life for "Power tools"</t>
  </si>
  <si>
    <t>Design life for "Personal Care Electronics"</t>
  </si>
  <si>
    <t>Design life for "Portable Lighting"</t>
  </si>
  <si>
    <t>Design life for "Universal battery chargers"</t>
  </si>
  <si>
    <t>Design life for "Emergency systems"</t>
  </si>
  <si>
    <t>Design life for "Cordless Phones"</t>
  </si>
  <si>
    <t>Design life for "Mobile Phones"</t>
  </si>
  <si>
    <t>Design life for "Laptops"</t>
  </si>
  <si>
    <t>Design life for "Portable Electronics"</t>
  </si>
  <si>
    <t>Design life for "Information Appliances"</t>
  </si>
  <si>
    <t>Design life for "Personal Audio Electronics"</t>
  </si>
  <si>
    <t>Given lifetime for "Electronic Musical Equipment"</t>
  </si>
  <si>
    <t>Share of total for "Commercial/Industrial Computer Monitors"</t>
  </si>
  <si>
    <t>Lifetime for "Porable Computers"</t>
  </si>
  <si>
    <t>"May include MP3 speaker docks with FM tuners"</t>
  </si>
  <si>
    <t>Sales to dealers of "portable and transportable navigation."  Includes handheld GPSs.</t>
  </si>
  <si>
    <t>Sales to dealers of "Mobile Computing," including laptops, netbooks and tablets</t>
  </si>
  <si>
    <t>Sales to dealers of "Family Radio Service Devices"</t>
  </si>
  <si>
    <t>Assume all units include one cordless phone</t>
  </si>
  <si>
    <t>Philips recommended using a baseline of 15 million for products in BC product class 1</t>
  </si>
  <si>
    <t>Based on Philips comment from Preliminary Analysis</t>
  </si>
  <si>
    <t>Assumes all rechargeable tootbrushes are inductively charged</t>
  </si>
  <si>
    <t>"Canalys expects the [worlwide] pad PC market to reach 12.5 million units in 2010" (Canalys (2010) &lt;http://www.canalys.com/pr/2010/r2010073.html&gt;). This estimate was combined with an estimate that the US share of the global PC market in 2010 will be 23.9% (Source: SeekingAlpha.com &lt;http://seekingalpha.com/article/225560-rising-global-notebook-sales-important-for-dell&gt;).</t>
  </si>
  <si>
    <t>DOE estimate</t>
  </si>
  <si>
    <t>Estimate based on ABI research report stating that 36.3m netbooks were shipped worldwide in 2009, with shipments expecting to reach 58m in 2010 (ABI Research &lt;http://www.abiresearch.com/press/3422-2009+Netbook+Shipments+Pass+Expectations,+58+Million+Forecast+for+2010&gt;). These figures were multiplied by the estimated US share of the global PC market, 23.9% (SeekingAlpha.com &lt;http://seekingalpha.com/article/225560-rising-global-notebook-sales-important-for-dell&gt;)</t>
  </si>
  <si>
    <t>Gartner (October 2010). "Gartner Says Worldwide Media Tabelt Sales on Pace to Reach 19.5 Million Units in 2010." Accessed November 10, 2010 at &lt;http://www.gartner.com/it/page.jsp?id=1452614&gt;</t>
  </si>
  <si>
    <t>Gartner expects 19,490,000 media tablet sales in 2010, of which North America will account for 61%. Gartner also predicts 54,781,000 sales in 2011.</t>
  </si>
  <si>
    <t>Media Tablets</t>
  </si>
  <si>
    <t>Rechargeable Water Jets</t>
  </si>
  <si>
    <t>Divided annual sales ($) by average retail price of surveyed toy ride-on vehicles ($222.5)</t>
  </si>
  <si>
    <t>International Market Solutions (2007), p. 93</t>
  </si>
  <si>
    <t>Average replacement period of fleet golf cars</t>
  </si>
  <si>
    <t>IMS estimates an average six to seven year operating period for privately-owned golf cars</t>
  </si>
  <si>
    <t>International Market Solutions (2007). "Golf Car-Type Vehicles and the Emerging Market for Small, Task-Oriented vehicles in the United States; trends 2000-2006, 2007 Estimates &amp; Forecasts to 2012". Chapters 6 and 7.</t>
  </si>
  <si>
    <t>Share of total electric golf cars purchased for fleets, including replacements and new demand.</t>
  </si>
  <si>
    <t>Forecast for electric vehicles based on 2006 sales of new golf cars to individuals and businesses</t>
  </si>
  <si>
    <t>Estimate based on CEA figures for "Mobile Computing" from 2010 Sales &amp; Forecast Report. Estimates of netbook and tablet shipments from other sources were subtracted from total "Mobile Computing" shipments numbers. Assumed that early forecasts of 2010 tablets shipments were underestimated.</t>
  </si>
  <si>
    <t>Dell 2009; Dell 2010; Forrester 2006; CEA 2010</t>
  </si>
  <si>
    <t>DOE estimate based on financial reports, US market share estimates, and commercial and residential shipments estimates from Dell, Inc. (2009, 2010), as well as US PC shipments estimates from CEA (2010), and a  study of the corporate PC market (Forrester 2006).</t>
  </si>
  <si>
    <t>DOE estimate based on Gartner's qualitative assessment of the commercial sector media tablet market.</t>
  </si>
  <si>
    <t>Citation</t>
  </si>
  <si>
    <t>Derived market share of 3 major video game consoles.</t>
  </si>
  <si>
    <t>"iPad propels Apple into top five PC vendors netbook sales idle." Canalys. July 26, 2010. Accessed November 2, 2010 at &lt;http://www.canalys.com/pr/2010/r2010073.html&gt;</t>
  </si>
  <si>
    <t>Estimates shipments for 2010 based upon Q2 sales</t>
  </si>
  <si>
    <t>NAMM. 2009 Music USA NAMM Global Report. Accessed October 28, 2010 at &lt;http://www.nxtbook.com/nxtbooks/namm/2009musicusa/&gt;</t>
  </si>
  <si>
    <t>Qualitative assessment of commercial market</t>
  </si>
  <si>
    <t>Bibliography</t>
  </si>
  <si>
    <t>EPA 2010</t>
  </si>
  <si>
    <t>Greuner 2010</t>
  </si>
  <si>
    <t>Canalys 2010</t>
  </si>
  <si>
    <t>NAMM 2009</t>
  </si>
  <si>
    <t>Gartner 2010</t>
  </si>
  <si>
    <t>Dell 2009</t>
  </si>
  <si>
    <r>
      <t xml:space="preserve">Greuner, Wolfgang. “The Xbox 360 Will Win the Console Wars.” </t>
    </r>
    <r>
      <rPr>
        <i/>
        <sz val="10"/>
        <rFont val="Arial"/>
        <family val="2"/>
      </rPr>
      <t>Tom’s Guide.com</t>
    </r>
    <r>
      <rPr>
        <sz val="10"/>
        <rFont val="Arial"/>
        <family val="2"/>
      </rPr>
      <t>. April 1, 2010. Accessed October 28, 2010 at &lt;http://www.tomsguide.com/us/xbox-360-ps3-wii,news-6314.html&gt;</t>
    </r>
  </si>
  <si>
    <t>Gartner. "Gartner Says Worldwide Media Tablet Sales on Pace to Reach 19.5 Million Units in 2010." October 15, 2010. Accessed November 11 at &lt;http://www.gartner.com/it/page.jsp?id=1452614&gt;</t>
  </si>
  <si>
    <r>
      <t xml:space="preserve">Dell, Inc. </t>
    </r>
    <r>
      <rPr>
        <i/>
        <sz val="10"/>
        <rFont val="Arial"/>
        <family val="2"/>
      </rPr>
      <t>Form 10-K</t>
    </r>
    <r>
      <rPr>
        <sz val="10"/>
        <rFont val="Arial"/>
        <family val="2"/>
      </rPr>
      <t>. January 29, 2010.</t>
    </r>
  </si>
  <si>
    <t>FY09 sales figures from Dell</t>
  </si>
  <si>
    <t>Dell 2010</t>
  </si>
  <si>
    <r>
      <t xml:space="preserve">Dell, Inc. "Historical PC Share." </t>
    </r>
    <r>
      <rPr>
        <i/>
        <sz val="10"/>
        <rFont val="Arial"/>
        <family val="2"/>
      </rPr>
      <t xml:space="preserve">IDC Worldwide Quarterly PC Tracker. </t>
    </r>
    <r>
      <rPr>
        <sz val="10"/>
        <rFont val="Arial"/>
        <family val="2"/>
      </rPr>
      <t>Accessed November 10, 2010 at &lt;http://i.dell.com/sites/content/corporate/secure/en/Documents/FY11_Q2_asdfgh2_Share.pdf&gt;</t>
    </r>
  </si>
  <si>
    <t>Worldwide market share for Dell by region, product, and sector.</t>
  </si>
  <si>
    <t>Cites Sanches, et al. (2007)</t>
  </si>
  <si>
    <t>DOE estimate based on commercial and residential shipments estimates from Dell, Inc. (2009), as well as US PC shipments estimates from CEA (2010), and a  study of the corporate PC market (Forrester 2006).</t>
  </si>
  <si>
    <t>Gartner  2010</t>
  </si>
  <si>
    <t>Assume similar commercial market penetration to Image Scanners</t>
  </si>
  <si>
    <t>Assume similar commercial market penetration to Ink Jet</t>
  </si>
  <si>
    <t>Assume similar commercial market penetration to LED monitors</t>
  </si>
  <si>
    <t>Estimate based on product survey</t>
  </si>
  <si>
    <t>Only can be charged via USB, assume same split as Notebooks</t>
  </si>
  <si>
    <t>iSuppli 2009a</t>
  </si>
  <si>
    <t>Yang, Michael. "External Hard Drive Shipments Grow 20 Percent in 2009." iSuppli. October 19, 2009. Accessed November 11, 2010 at &lt;http://www.isuppli.com/memory-and-storage/marketwatch/pages/external-hard-drive-shipments-grow-20-percent-in-2009.aspx&gt;</t>
  </si>
  <si>
    <t>Estimates 20% growth over 2008</t>
  </si>
  <si>
    <t>iSuppli forecasts 20% growth over 2008</t>
  </si>
  <si>
    <t>Assume use with commercial Notebooks</t>
  </si>
  <si>
    <t>Assume market continues to grow at same rate</t>
  </si>
  <si>
    <t>Assume market continues to grow at same rate as market for Ink Jet Imaging Equipment</t>
  </si>
  <si>
    <t>CEA 2010</t>
  </si>
  <si>
    <t>CEA 2009</t>
  </si>
  <si>
    <t>NCI 2009</t>
  </si>
  <si>
    <t>Based on ratio of commercial to residential floor space in the US</t>
  </si>
  <si>
    <t>Duncan 2009</t>
  </si>
  <si>
    <t>Duncan, Geoff. "Bluetooth Headset Shipments Down Sharply in 2009." Digital Trends. October 26, 2009. Accessed November 11, 2010 at &lt;http://www.digitaltrends.com/mobile/bluetooth-headsets-shipments-down-sharply-in-2009/&gt;</t>
  </si>
  <si>
    <t>International Market Solutions 2007</t>
  </si>
  <si>
    <t>TIA 2010</t>
  </si>
  <si>
    <t>In-Stat 2010</t>
  </si>
  <si>
    <t>"Revenue for standalone mobile hotspot devices will aproach $500 million by the end of 2010." Estimated shipments based on average price for mobile hotspot ($346).</t>
  </si>
  <si>
    <t>"Standalone Mobile Hotspot Device Revenue Already Approaching $500 Million in 2010, Says In-Stat." November 9, 2010. Accessed November 11, 2010 at &lt;http://www.marketwire.com/press-release/Standalone-Mobile-Hotspot-Device-Revenue-Already-Approaching-500-Million-2010-Says-In-1349350.htm&gt;</t>
  </si>
  <si>
    <t>Base Year Shipments</t>
  </si>
  <si>
    <t>Unverified</t>
  </si>
  <si>
    <t>Average of Canalys 2010 and Gartner 2010</t>
  </si>
  <si>
    <t>Assume 2009 shipments equal to 2010 shipments estimate, reduced by the annual US population growth rate</t>
  </si>
  <si>
    <t>iSuppli 2010</t>
  </si>
  <si>
    <t>Teng, Tina. "Wireless Charging Market Set to Expand by Factor of Nearly 70 by 2014." iSuppli. June 30, 2010. Accssessed November 15, 2010 at &lt;http://www.isuppli.com/Mobile-and-Wireless-Communications/News/Pages/Wireless-Charging-Market-Set-to-Expand-by-Factor-of-Nearly-70-by-2014.aspx&gt;</t>
  </si>
  <si>
    <t>2009 shipments are 99.1% of 2010 shipments</t>
  </si>
  <si>
    <t>Prodcut surveys</t>
  </si>
  <si>
    <t>Liszewski 2010</t>
  </si>
  <si>
    <t>Liszewski, Andrew. "OhGizmo! Review - Powermat Wireless Charging Solutions." OhGizmo! July 20, 2010. Accessed November 15, 2010 at &lt;http://www.ohgizmo.com/2010/07/20/ohgizmo-review-powermat-wireless-charging-solutions/&gt;</t>
  </si>
  <si>
    <t>According to iSuppli, Powermat currently accounts for over 60% of the market</t>
  </si>
  <si>
    <t>Based on first-births in 2007, as reported by CDC (http://www.cdc.gov/nchs/data/nvsr/nvsr57/nvsr57_12.pdf)</t>
  </si>
  <si>
    <t>Based on first-births in 2007 (1.7 million) and average rate of breastfeeding at 6 months (31.9%)</t>
  </si>
  <si>
    <t>Comcast 2010a</t>
  </si>
  <si>
    <t>Comcast.net. "10 Businesses the Smartphone is Destroying" Accessed November 15, 2010 at &lt;http://www.comcast.net/slideshow/finance-whatsmartphonekilled/handheld-video-games%20/&gt;</t>
  </si>
  <si>
    <t>Divided estimate of global handheld video game shipments (38.9m) by US share of world GDP</t>
  </si>
  <si>
    <t>Appliance Magazine (May 2009)</t>
  </si>
  <si>
    <t>Appliance Magazine 2009a</t>
  </si>
  <si>
    <t>iRobot Corporation 2008</t>
  </si>
  <si>
    <t>Global 2006 shipments (13.5m) divided by US share of world GPD 26.7%. Assume shipments grow at rate of US population.</t>
  </si>
  <si>
    <t>PG&amp;E 2008</t>
  </si>
  <si>
    <t>Frameworkd Document public comment</t>
  </si>
  <si>
    <t>Based on fish ownership rate and assumed 5 year lifetime</t>
  </si>
  <si>
    <t>Chinapromoter 2008</t>
  </si>
  <si>
    <t>http://www.chinapromoter.cn/electronics/portable-dvd-players.html</t>
  </si>
  <si>
    <t>Appliance Magazine 2009c</t>
  </si>
  <si>
    <t>Philips 2010</t>
  </si>
  <si>
    <t>Preliminary analysis public comment #43</t>
  </si>
  <si>
    <t>DOE esimtate</t>
  </si>
  <si>
    <t>Based on number of cases of obstructive sleep apnea in the US (12 million) divided by the average lifetime of the product (8 years)</t>
  </si>
  <si>
    <t>AHAM 2006</t>
  </si>
  <si>
    <t>Darnell 2008</t>
  </si>
  <si>
    <t>AHAM. Market data and technical design information for the U.S. Department of Energy’s determination analysis on battery chargers (BC) and external power supplies (EPS). Meeting with D.O.E. June 26, 2006</t>
  </si>
  <si>
    <t>AHAM 2006; Darnell 2008</t>
  </si>
  <si>
    <t>Goodman 2010</t>
  </si>
  <si>
    <t>International market Solutions 2007</t>
  </si>
  <si>
    <t>Marketstrat 2006</t>
  </si>
  <si>
    <t xml:space="preserve">Marketstrat 2006. </t>
  </si>
  <si>
    <t>TIA 2009</t>
  </si>
  <si>
    <t>Based on Sennheiser RS180</t>
  </si>
  <si>
    <t>Based on Sennheise RS180</t>
  </si>
  <si>
    <t>Apple iPad</t>
  </si>
  <si>
    <t>Ecoustics 2005</t>
  </si>
  <si>
    <t>Based on market share for Dell brand LCD monitors</t>
  </si>
  <si>
    <t>Supported by AHAM</t>
  </si>
  <si>
    <t>Clairmont 2009</t>
  </si>
  <si>
    <t>Invacare Stratos</t>
  </si>
  <si>
    <t>External Power Supplies</t>
  </si>
  <si>
    <t>Efficiency Distribution</t>
  </si>
  <si>
    <t>Shipment
Rank</t>
  </si>
  <si>
    <t>Lifetime - Low [yr]</t>
  </si>
  <si>
    <t>Lifetime - Reference [yr]</t>
  </si>
  <si>
    <t>Lifetime - High [yr]</t>
  </si>
  <si>
    <t>Baseline Markup</t>
  </si>
  <si>
    <t>Incremental Markup</t>
  </si>
  <si>
    <t>Mkt Share 2013 CSL 0 [%]</t>
  </si>
  <si>
    <t>Mkt Share 2013 CSL 1 [%]</t>
  </si>
  <si>
    <t>Mkt Share 2013 CSL 2 [%]</t>
  </si>
  <si>
    <t>Mkt Share 2013 CSL 3 [%]</t>
  </si>
  <si>
    <t>Mkt Share 2013 CSL 4 [%]</t>
  </si>
  <si>
    <t>Mkt Share 2013 CSL 5 [%]</t>
  </si>
  <si>
    <t>Mkt Share 2013 CSL 6 [%]</t>
  </si>
  <si>
    <t>Residential PC Total</t>
  </si>
  <si>
    <t>Residential PC Average</t>
  </si>
  <si>
    <t>Commercial PC Total</t>
  </si>
  <si>
    <t>Commercial PC Average</t>
  </si>
  <si>
    <t>Product Class Totals</t>
  </si>
  <si>
    <t>Product Class Averages</t>
  </si>
  <si>
    <t>Comcast 2010</t>
  </si>
  <si>
    <t>Comcast had 1.3 million new subscribers from June 2009 to June 2010, equal to 13% of 2009 shipments. Comcast is the only service provider who's VoIPs contain BCs.</t>
  </si>
  <si>
    <t>Arris Touchstone VoIP Broadband Modem</t>
  </si>
  <si>
    <t>Battery Chargers</t>
  </si>
  <si>
    <t>Acer Incorporated. 2008 Annual Report.  April 30, 2008. p. 55. (Last accessed July 14, 2010.) &lt;http://www.acer-group.com/public/Investor_Relations/pdf/Acer2008AnnualReport.pdf &gt; p 55.</t>
  </si>
  <si>
    <t>Page 55: CGS = (Operating Revenue) - (Gross Profit); Units = NT$</t>
  </si>
  <si>
    <t>Amazon.com. Form 10-K. 2008. (Last accessed July 14, 2010.) &lt;http://sec.gov/Archives/edgar/data/1018724/000119312509014406/d10k.htm&gt;</t>
  </si>
  <si>
    <t>Page 45</t>
  </si>
  <si>
    <t>Apple Inc. Form 10-K. 2009. (Last accessed July 14, 2010.) &lt;http://sec.gov/Archives/edgar/data/320193/000119312509214859/d10k.htm&gt;</t>
  </si>
  <si>
    <t>Page 56</t>
  </si>
  <si>
    <t xml:space="preserve">AT&amp;T. Consolidated Statements of Income. February 12, 2009. p. 35.  (Last accessed July 14, 2010.) &lt;http://sec.gov/Archives/edgar/data/732717/000073271709000007/ex13.pdf &gt;  </t>
  </si>
  <si>
    <t>Page 35</t>
  </si>
  <si>
    <t>AutoZone. Form 10-K. 2009. (Last accessed July 14, 2010.) &lt;http://sec.gov/Archives/edgar/data/866787/000095012309053232/c91285e10vk.htm&gt;</t>
  </si>
  <si>
    <t>Page 38</t>
  </si>
  <si>
    <t>Garven 2010</t>
  </si>
  <si>
    <t>Hansen 2009</t>
  </si>
  <si>
    <r>
      <t xml:space="preserve">Garven, Jim. "The Price Elasticity of Demand for the Apple iPad." </t>
    </r>
    <r>
      <rPr>
        <i/>
        <sz val="10"/>
        <rFont val="Arial"/>
        <family val="2"/>
      </rPr>
      <t>Jim Garven's Blog</t>
    </r>
    <r>
      <rPr>
        <sz val="10"/>
        <rFont val="Arial"/>
        <family val="2"/>
      </rPr>
      <t>. April 7, 2010. Accessed November 19, 2010 at &lt;http://blog.garven.com/2010/04/07/the-price-elasticity-of-demand-for-the-apple-ipad/&gt;</t>
    </r>
  </si>
  <si>
    <r>
      <t xml:space="preserve">Hansen, Robert. "Apple iPhone Price Elasticity." </t>
    </r>
    <r>
      <rPr>
        <i/>
        <sz val="10"/>
        <rFont val="Arial"/>
        <family val="2"/>
      </rPr>
      <t>Robert Hansen's Blog.</t>
    </r>
    <r>
      <rPr>
        <sz val="10"/>
        <rFont val="Arial"/>
        <family val="2"/>
      </rPr>
      <t xml:space="preserve"> June 25, 2009. Accessed November 19, 2010 at &lt;http://robertghansen.blogspot.com/2009/06/apple-iphone-price-elasticity.html&gt;</t>
    </r>
  </si>
  <si>
    <t>Anderson 2006</t>
  </si>
  <si>
    <t>Basic information about price elasticity</t>
  </si>
  <si>
    <t>Shilov 2009</t>
  </si>
  <si>
    <t>Shilov, Anton. "Average Selling Prices of Personal Computers Collapse - Market Research." Xbit Laboratories. March 6, 2009. Accessed November 23, 2010 at &lt;http://www.xbitlabs.com/news/other/display/20090306064622_Average_Selling_Prices_of_Personal_Computers_Collapse__Market_Research.html&gt;</t>
  </si>
  <si>
    <t>Provided quarterly unit volumes and average selling prices for PCs, 2005-2008. Used to calculate demand curves and price elasticities.</t>
  </si>
  <si>
    <t>CSL2 no-load</t>
  </si>
  <si>
    <t>CSL3 Actice</t>
  </si>
  <si>
    <t>CSL3 No-Load</t>
  </si>
  <si>
    <t>Meets CSL3 Active</t>
  </si>
  <si>
    <t>Meets CSL3 No-Load</t>
  </si>
  <si>
    <t>Meets CSL3</t>
  </si>
  <si>
    <t>CSL4 Actice</t>
  </si>
  <si>
    <t>CSL4 No-Load</t>
  </si>
  <si>
    <t>Meets CSL4 Active</t>
  </si>
  <si>
    <t>Meets CSL4 No-Load</t>
  </si>
  <si>
    <t>Meets CSL4</t>
  </si>
  <si>
    <t>CSL0 No-Load</t>
  </si>
  <si>
    <t>CSL1 Active</t>
  </si>
  <si>
    <t>Units Tested</t>
  </si>
  <si>
    <t>CSL 0</t>
  </si>
  <si>
    <t>CSL 1</t>
  </si>
  <si>
    <t>CSL 2</t>
  </si>
  <si>
    <t>CSL 3</t>
  </si>
  <si>
    <t>CSL 4</t>
  </si>
  <si>
    <t>Lower</t>
  </si>
  <si>
    <t>2013 Application-Level Distributions</t>
  </si>
  <si>
    <t xml:space="preserve">Based on ratio of commercial to residential floor space in the US and ratio between new residential and commercial construction. </t>
  </si>
  <si>
    <t>Application-Specific Efficiency Distributions</t>
  </si>
  <si>
    <t>Others</t>
  </si>
  <si>
    <t>Updated</t>
  </si>
  <si>
    <t>Amateur Radios (Res.)</t>
  </si>
  <si>
    <t>Pre-Amps (Res.)</t>
  </si>
  <si>
    <t>Wireless Speakers (Res.)</t>
  </si>
  <si>
    <t>Guitar Effects Pedals (Res.)</t>
  </si>
  <si>
    <t>Keyboards (Res.)</t>
  </si>
  <si>
    <t>MP3 Speaker Docks (Res.)</t>
  </si>
  <si>
    <t>Clock Radios (Res.)</t>
  </si>
  <si>
    <t>Wireless Headphones (Res.)</t>
  </si>
  <si>
    <t>MP3 Players (Res.)</t>
  </si>
  <si>
    <t>Personal Digital Assistants (Res.)</t>
  </si>
  <si>
    <t>Notebooks (Res.)</t>
  </si>
  <si>
    <t>Media Tablets (Res.)</t>
  </si>
  <si>
    <t>Computer Speakers (Res.)</t>
  </si>
  <si>
    <t>External Hard Drives (Res.)</t>
  </si>
  <si>
    <t>Uninterruptible Power Supplies (Res.)</t>
  </si>
  <si>
    <t>LED Monitors (Res.)</t>
  </si>
  <si>
    <t>Image Scanners (Res.)</t>
  </si>
  <si>
    <t>Ink Jet Imaging Equipment (Res.)</t>
  </si>
  <si>
    <t>Portable Printers (Res.)</t>
  </si>
  <si>
    <t>E-Books (Res.)</t>
  </si>
  <si>
    <t>Mobile Internet Hotspots (Res.)</t>
  </si>
  <si>
    <t>LAN Equipment (Res.)</t>
  </si>
  <si>
    <t>In-Vehicle GPS (Res.)</t>
  </si>
  <si>
    <t>Handheld GPS (Res.)</t>
  </si>
  <si>
    <t>Bluetooth Headsets (Res.)</t>
  </si>
  <si>
    <t>Consumer Two-Way Radios (Res.)</t>
  </si>
  <si>
    <t>Mobile Phones (Res.)</t>
  </si>
  <si>
    <t>Smartphone (Res.)</t>
  </si>
  <si>
    <t>Caller ID Devices (Res.)</t>
  </si>
  <si>
    <t>Cordless Phones (Res.)</t>
  </si>
  <si>
    <t>Answering Machines (Res.)</t>
  </si>
  <si>
    <t>VoIP Adapters (Res.)</t>
  </si>
  <si>
    <t>Baby Monitors (Res.)</t>
  </si>
  <si>
    <t>Breast Pumps (Res.)</t>
  </si>
  <si>
    <t>RC Toys (Res.)</t>
  </si>
  <si>
    <t>Portable Video Game Systems (Res.)</t>
  </si>
  <si>
    <t>Video Game Consoles (Res.)</t>
  </si>
  <si>
    <t>Handheld Vacuums (Res.)</t>
  </si>
  <si>
    <t>Robotic Vacuums (Res.)</t>
  </si>
  <si>
    <t>Stick Vacuums (Res.)</t>
  </si>
  <si>
    <t>Home Security Systems (Res.)</t>
  </si>
  <si>
    <t>Irrigation Timers (Res.)</t>
  </si>
  <si>
    <t>Water Softeners/Purifiers (Res.)</t>
  </si>
  <si>
    <t>Blenders (Res.)</t>
  </si>
  <si>
    <t>Can Openers (Res.)</t>
  </si>
  <si>
    <t>Mixers (Res.)</t>
  </si>
  <si>
    <t>Camcorders (Res.)</t>
  </si>
  <si>
    <t>Digital Cameras (Res.)</t>
  </si>
  <si>
    <t>Digital Picture Frames (Res.)</t>
  </si>
  <si>
    <t>Portable DVD Players (Res.)</t>
  </si>
  <si>
    <t>Wireless Charging Stations (Res.)</t>
  </si>
  <si>
    <t>Air Mattress Pumps (Res.)</t>
  </si>
  <si>
    <t>Aquarium Accessories (Res.)</t>
  </si>
  <si>
    <t>Indoor Fountains (Res.)</t>
  </si>
  <si>
    <t>Flashlights/Lanterns (Res.)</t>
  </si>
  <si>
    <t>Universal Battery Chargers (Res.)</t>
  </si>
  <si>
    <t>Rechargeable Garden Care Products (Res.)</t>
  </si>
  <si>
    <t>Lawn Mowers (Res.)</t>
  </si>
  <si>
    <t>Rechargeable Toothbrushes (Res.)</t>
  </si>
  <si>
    <t>Rechargeable Water Jets (Res.)</t>
  </si>
  <si>
    <t>Beard and Moustache Trimmers (Res.)</t>
  </si>
  <si>
    <t>Hair Clippers (Res.)</t>
  </si>
  <si>
    <t>Shavers (Res.)</t>
  </si>
  <si>
    <t>Sleep Apnea Machines (Res.)</t>
  </si>
  <si>
    <t>Medical Nebulizers (Res.)</t>
  </si>
  <si>
    <t>Portable O2 Concentrators (Res.)</t>
  </si>
  <si>
    <t>Blood Pressure Monitors (Res.)</t>
  </si>
  <si>
    <t>DIY Power Tools (Integral) (Res.)</t>
  </si>
  <si>
    <t>DIY Power Tools (External) (Res.)</t>
  </si>
  <si>
    <t>Professional Power Tools (Res.)</t>
  </si>
  <si>
    <t>Electric Scooters (Res.)</t>
  </si>
  <si>
    <t>Motorized Bicycles (Res.)</t>
  </si>
  <si>
    <t>Golf Carts (Res.)</t>
  </si>
  <si>
    <t>Toy Ride-On Vehicles (Res.)</t>
  </si>
  <si>
    <t>Wheelchairs (Res.)</t>
  </si>
  <si>
    <t>Mobility Scooters (Res.)</t>
  </si>
  <si>
    <t>Marine/Automotive/RV Chargers (Res.)</t>
  </si>
  <si>
    <t>Clock Radios (Comm.)</t>
  </si>
  <si>
    <t>Personal Digital Assistants (Comm.)</t>
  </si>
  <si>
    <t>Netbooks (Comm.)</t>
  </si>
  <si>
    <t>Notebooks (Comm.)</t>
  </si>
  <si>
    <t>Media Tablets (Comm.)</t>
  </si>
  <si>
    <t>Computer Speakers (Comm.)</t>
  </si>
  <si>
    <t>External Hard Drives (Comm.)</t>
  </si>
  <si>
    <t>Uninterruptible Power Supplies (Comm.)</t>
  </si>
  <si>
    <t>LED Monitors (Comm.)</t>
  </si>
  <si>
    <t>Image Scanners (Comm.)</t>
  </si>
  <si>
    <t>Ink Jet Imaging Equipment (Comm.)</t>
  </si>
  <si>
    <t>Portable Printers (Comm.)</t>
  </si>
  <si>
    <t>Mobile Internet Hotspots (Comm.)</t>
  </si>
  <si>
    <t>LAN Equipment (Comm.)</t>
  </si>
  <si>
    <t>Bluetooth Headsets (Comm.)</t>
  </si>
  <si>
    <t>Consumer Two-Way Radios (Comm.)</t>
  </si>
  <si>
    <t>Mobile Phones (Comm.)</t>
  </si>
  <si>
    <t>Smartphone (Comm.)</t>
  </si>
  <si>
    <t>Cordless Phones (Comm.)</t>
  </si>
  <si>
    <t>Answering Machines (Comm.)</t>
  </si>
  <si>
    <t>Digital Cameras (Comm.)</t>
  </si>
  <si>
    <t>Digital Picture Frames (Comm.)</t>
  </si>
  <si>
    <t>Wireless Charging Stations (Comm.)</t>
  </si>
  <si>
    <t>Aquarium Accessories (Comm.)</t>
  </si>
  <si>
    <t>DIY Power Tools (Integral) (Comm.)</t>
  </si>
  <si>
    <t>DIY Power Tools (External) (Comm.)</t>
  </si>
  <si>
    <t>Professional Power Tools (Comm.)</t>
  </si>
  <si>
    <t>Golf Carts (Comm.)</t>
  </si>
  <si>
    <t>Netbooks (Res.)</t>
  </si>
  <si>
    <t>Product Survey.</t>
  </si>
  <si>
    <t>B</t>
  </si>
  <si>
    <t>B, 2.5</t>
  </si>
  <si>
    <t>B, 18</t>
  </si>
  <si>
    <t>B, 60</t>
  </si>
  <si>
    <t>B, 120</t>
  </si>
  <si>
    <t>C</t>
  </si>
  <si>
    <t>D</t>
  </si>
  <si>
    <t>E</t>
  </si>
  <si>
    <t>X</t>
  </si>
  <si>
    <t>H</t>
  </si>
  <si>
    <t>NCA Determination</t>
  </si>
  <si>
    <t>Test #</t>
  </si>
  <si>
    <t>App #</t>
  </si>
  <si>
    <t>Rep. Unit #</t>
  </si>
  <si>
    <t>ID</t>
  </si>
  <si>
    <t>Filter A</t>
  </si>
  <si>
    <t>Filter B</t>
  </si>
  <si>
    <t>Count of Tested Units at Standard Level</t>
  </si>
  <si>
    <t>General</t>
  </si>
  <si>
    <t>2.5 W Rep. Unit</t>
  </si>
  <si>
    <t>18 W Rep. Unit</t>
  </si>
  <si>
    <t>60 W Rep. Unit</t>
  </si>
  <si>
    <t>120 W Rep. Unit</t>
  </si>
  <si>
    <t>Computer Speakers</t>
  </si>
  <si>
    <t>Notebooks 60 W</t>
  </si>
  <si>
    <t>Notebooks 120 W</t>
  </si>
  <si>
    <t>External Hard Drives</t>
  </si>
  <si>
    <t>LAN Equipment 2.5 W</t>
  </si>
  <si>
    <t>LAN Equipment 18 W</t>
  </si>
  <si>
    <t>Cordless Phones &amp; Answering Machines</t>
  </si>
  <si>
    <t>Check 0</t>
  </si>
  <si>
    <t>Check 4</t>
  </si>
  <si>
    <t>Check 3</t>
  </si>
  <si>
    <t>Check 2</t>
  </si>
  <si>
    <t>Check 1</t>
  </si>
  <si>
    <t>2009 Efficiency Distribution</t>
  </si>
  <si>
    <t>2013 Efficiency Distribution</t>
  </si>
  <si>
    <t>Select</t>
  </si>
  <si>
    <t>Rep Units 1 and 2</t>
  </si>
  <si>
    <t>Rep Units 2 and 3</t>
  </si>
  <si>
    <t xml:space="preserve">Rep Units 3 and 4 </t>
  </si>
  <si>
    <t>Commercial EPS Shipments by Product Class</t>
  </si>
  <si>
    <t>Total EPS Shipments by Product Class</t>
  </si>
  <si>
    <t>Residential EPS Shipments by Product Class</t>
  </si>
  <si>
    <t>Short Name</t>
  </si>
  <si>
    <t>Long Name</t>
  </si>
  <si>
    <t>B 2.5 W</t>
  </si>
  <si>
    <t>AC-DC, Basic Voltage 2.5 W Rep. Unit</t>
  </si>
  <si>
    <t>B 18 W</t>
  </si>
  <si>
    <t>AC-DC, Basic Voltage 18 W Rep. Unit</t>
  </si>
  <si>
    <t>High Power EPSs</t>
  </si>
  <si>
    <t>Multiple-voltage EPSs</t>
  </si>
  <si>
    <t>B 60 W</t>
  </si>
  <si>
    <t>AC-DC, Basic Voltage 60 W Rep. Unit</t>
  </si>
  <si>
    <t>B 120 W</t>
  </si>
  <si>
    <t>AC-DC, Basic Voltage 120 W Rep. Unit</t>
  </si>
  <si>
    <t>AC-DC, Low Voltage</t>
  </si>
  <si>
    <t>AC-AC, Basic Voltage</t>
  </si>
  <si>
    <t>AC-AC, Low Voltage</t>
  </si>
  <si>
    <t>BC 1</t>
  </si>
  <si>
    <t>AC-DC, &lt;100 Wh, Inductive Connection</t>
  </si>
  <si>
    <t>BC 10</t>
  </si>
  <si>
    <t>AC Output from Battery</t>
  </si>
  <si>
    <t>BC 9</t>
  </si>
  <si>
    <t>DC-DC, &lt;9 V Input</t>
  </si>
  <si>
    <t>BC 8</t>
  </si>
  <si>
    <t>BC 7</t>
  </si>
  <si>
    <t>AC-DC, &gt;3000 Wh</t>
  </si>
  <si>
    <t>BC 6</t>
  </si>
  <si>
    <t>BC 5</t>
  </si>
  <si>
    <t>BC 4</t>
  </si>
  <si>
    <t>AC-DC, &lt;100 Wh, &gt;10 V</t>
  </si>
  <si>
    <t>AC-DC, 100-3000 Wh, &gt;=20 V</t>
  </si>
  <si>
    <t>DC-DC, &gt;=9 V Input</t>
  </si>
  <si>
    <t>AC-DC, 100-3000 Wh, &lt;20 V</t>
  </si>
  <si>
    <t>BC 3</t>
  </si>
  <si>
    <t>AC-DC, &lt;100 Wh, 4-10 V</t>
  </si>
  <si>
    <t>BC 2</t>
  </si>
  <si>
    <t>AC-DC, &lt;100 Wh, &lt;4 V</t>
  </si>
  <si>
    <t>2009 Application-Level Distributions</t>
  </si>
  <si>
    <t>&lt;CSL 0</t>
  </si>
  <si>
    <t>Sensitivity</t>
  </si>
  <si>
    <t>BC</t>
  </si>
  <si>
    <t>EPS</t>
  </si>
  <si>
    <t>5% of Appliance mag inkjet and MFD shipments.</t>
  </si>
  <si>
    <t>US unit shipments for "Vacuums, Handheld, Rechargeable"</t>
  </si>
  <si>
    <t>Appliance Magazine (January 2010)</t>
  </si>
  <si>
    <t>US Unit shipments for "Vacuums, Handheld, rechargeable"</t>
  </si>
  <si>
    <t>Appliance Magazine (September 2009)</t>
  </si>
  <si>
    <t>Clairmont 2009; Product surveys</t>
  </si>
  <si>
    <t>~30% of the market is for SLR cameras, and about half of surveyed SLRs ship with an AC adapter</t>
  </si>
  <si>
    <t>N (Class A)</t>
  </si>
  <si>
    <t>N (non-Class A)</t>
  </si>
  <si>
    <t>Indirectly operates application, Class A EPS</t>
  </si>
  <si>
    <t>Indirectly operates application, non-Class A EPS</t>
  </si>
  <si>
    <t>EPS Product Class B, 2.5 W rep. unit</t>
  </si>
  <si>
    <t>EPS Product Class B, 18 W rep. unit</t>
  </si>
  <si>
    <t>EPS Product Class B, 60 W rep. unit</t>
  </si>
  <si>
    <t>EPS Product Class B, 120 W rep. unit</t>
  </si>
  <si>
    <t>EPS Product Class C</t>
  </si>
  <si>
    <t>EPS Product Class D</t>
  </si>
  <si>
    <t>EPS Product Class E</t>
  </si>
  <si>
    <t>EPS Product Class X, multiple voltage</t>
  </si>
  <si>
    <t>EPS Product Class H, high power</t>
  </si>
  <si>
    <t>N/A</t>
  </si>
  <si>
    <t>Insignificant shipments</t>
  </si>
  <si>
    <t>Test results and product surveys</t>
  </si>
  <si>
    <t>Assume same as beard and moustache trimmers</t>
  </si>
  <si>
    <t>Estimate based on test results</t>
  </si>
  <si>
    <t>Estimate based on test results, product surveys</t>
  </si>
  <si>
    <t xml:space="preserve">Some UBCs </t>
  </si>
  <si>
    <t>Based on battery life span of 800 charge cycles</t>
  </si>
  <si>
    <t>Clairmont, Kristy. PMA Data Watch: DSLR purchasers most likely to be purchasing an additional camera. June 22, 2009. (Last accessed July 15, 2010.) &lt;http://pmaforesight.com/?page_id=490&gt;</t>
  </si>
  <si>
    <t>Toy Industry Association. "State of the Industry." (Last accessed November 10, 2010) &lt;http://www.toyassociation.org/AM/Template.cfm?Section=12_Rolling_Months&gt;</t>
  </si>
  <si>
    <t>Forced composite markup to 1.24 per findings in the Manufacturer Impact Analysis</t>
  </si>
  <si>
    <t>CEC baseline CSL</t>
  </si>
  <si>
    <t>2,3</t>
  </si>
  <si>
    <t>Manufacturer comment</t>
  </si>
  <si>
    <t>European Power Tool Association. Docket No. 2005-0069.</t>
  </si>
  <si>
    <t>Test Data</t>
  </si>
  <si>
    <t>Usage Profile</t>
  </si>
  <si>
    <t>UEC</t>
  </si>
  <si>
    <t>Standard</t>
  </si>
  <si>
    <t>Check</t>
  </si>
  <si>
    <t>Team Consensus (2009)</t>
  </si>
  <si>
    <t>Team Consensus (2013)</t>
  </si>
  <si>
    <t>Distribution in California (2013)</t>
  </si>
  <si>
    <t>U.S. Efficiency Distribution (2013)</t>
  </si>
  <si>
    <t>Unit ID . Test Type . Test ID</t>
  </si>
  <si>
    <t>Test Summary</t>
  </si>
  <si>
    <t>Application Type</t>
  </si>
  <si>
    <t>Application #</t>
  </si>
  <si>
    <t>Product Class</t>
  </si>
  <si>
    <t>Battery Voltage</t>
  </si>
  <si>
    <t>Measured Battery Energy [Wh]</t>
  </si>
  <si>
    <t>Maintenance Mode Power [W]</t>
  </si>
  <si>
    <t>24-Hour Charge Energy [Wh]</t>
  </si>
  <si>
    <t>No-Battery Test Avg. Power [W]</t>
  </si>
  <si>
    <t>Off Mode Power [W]</t>
  </si>
  <si>
    <t>Active + Maintenance [hr/dy]</t>
  </si>
  <si>
    <t>No Battery [hr/dy]</t>
  </si>
  <si>
    <t>Unplugged [hr/dy]</t>
  </si>
  <si>
    <t>Off [hr/dy]</t>
  </si>
  <si>
    <t>Charges [#/day]</t>
  </si>
  <si>
    <t>UEC (kWh/yr)</t>
  </si>
  <si>
    <t>PG&amp;E</t>
  </si>
  <si>
    <t>690.2.1</t>
  </si>
  <si>
    <t>719.2.1</t>
  </si>
  <si>
    <t>720.2.1</t>
  </si>
  <si>
    <t>722.2.1</t>
  </si>
  <si>
    <t>723.2.1</t>
  </si>
  <si>
    <t>725.2.1</t>
  </si>
  <si>
    <t>Bluetooth Headset</t>
  </si>
  <si>
    <t>689.2.1</t>
  </si>
  <si>
    <t>Cordless Can Openers</t>
  </si>
  <si>
    <t>Cordless Hedge Trimmers/Weed Trimmers</t>
  </si>
  <si>
    <t>617A.2.3</t>
  </si>
  <si>
    <t>Cordless Phone</t>
  </si>
  <si>
    <t>617B.2.2</t>
  </si>
  <si>
    <t>BC292</t>
  </si>
  <si>
    <t>BC293</t>
  </si>
  <si>
    <t>747.2.1</t>
  </si>
  <si>
    <t>Cordless Phones/Answering Devices</t>
  </si>
  <si>
    <t>616.2.1</t>
  </si>
  <si>
    <t>662.2.1</t>
  </si>
  <si>
    <t>662.2.2</t>
  </si>
  <si>
    <t>664.2.1</t>
  </si>
  <si>
    <t>664.2.2</t>
  </si>
  <si>
    <t>687.2.1</t>
  </si>
  <si>
    <t>688.2.1</t>
  </si>
  <si>
    <t>703.2.1</t>
  </si>
  <si>
    <t>Electric Shavers</t>
  </si>
  <si>
    <t>Exit light, LED</t>
  </si>
  <si>
    <t>BC287</t>
  </si>
  <si>
    <t>BC303</t>
  </si>
  <si>
    <t>629.2.1</t>
  </si>
  <si>
    <t>686.2.1</t>
  </si>
  <si>
    <t>696.2.1</t>
  </si>
  <si>
    <t>697.2.1</t>
  </si>
  <si>
    <t>BC301</t>
  </si>
  <si>
    <t>Pocket Projector</t>
  </si>
  <si>
    <t>Portable Energy</t>
  </si>
  <si>
    <t>698.2.1</t>
  </si>
  <si>
    <t>Portable Video Game Systems (PSP)</t>
  </si>
  <si>
    <t>704.2.1</t>
  </si>
  <si>
    <t>RC Helicopter</t>
  </si>
  <si>
    <t>Rechargeable Lanterns/Flashlights</t>
  </si>
  <si>
    <t>BC296</t>
  </si>
  <si>
    <t>693.2.1</t>
  </si>
  <si>
    <t>Digital Camcorders</t>
  </si>
  <si>
    <t>693.2.2</t>
  </si>
  <si>
    <t>BC281</t>
  </si>
  <si>
    <t>DIY Power Tools - External Battery</t>
  </si>
  <si>
    <t>1029D</t>
  </si>
  <si>
    <t>1030D</t>
  </si>
  <si>
    <t>1034b</t>
  </si>
  <si>
    <t>DIY Power Tools - Integral Battery</t>
  </si>
  <si>
    <t>653.2.1</t>
  </si>
  <si>
    <t>654.2.1</t>
  </si>
  <si>
    <t>BC290</t>
  </si>
  <si>
    <t>BC300</t>
  </si>
  <si>
    <t>670.2.1</t>
  </si>
  <si>
    <t>671.2.1</t>
  </si>
  <si>
    <t>677.2.1</t>
  </si>
  <si>
    <t>Ride-On Toy</t>
  </si>
  <si>
    <t>Cordless Handheld Vacuums</t>
  </si>
  <si>
    <t>BC282</t>
  </si>
  <si>
    <t>Not Listed</t>
  </si>
  <si>
    <t>BC288</t>
  </si>
  <si>
    <t>7.2-18</t>
  </si>
  <si>
    <t>BC291</t>
  </si>
  <si>
    <t>BC305</t>
  </si>
  <si>
    <t>BC304</t>
  </si>
  <si>
    <t>713.2.1</t>
  </si>
  <si>
    <t>715.2.1</t>
  </si>
  <si>
    <t>716.2.1</t>
  </si>
  <si>
    <t>717.2.1</t>
  </si>
  <si>
    <t>BC280</t>
  </si>
  <si>
    <t>BC285</t>
  </si>
  <si>
    <t>1025D</t>
  </si>
  <si>
    <t>Universal Battery Chargers (PC 2)</t>
  </si>
  <si>
    <t>1026D</t>
  </si>
  <si>
    <t>1034a</t>
  </si>
  <si>
    <t>1034c</t>
  </si>
  <si>
    <t>1035a</t>
  </si>
  <si>
    <t>1035b</t>
  </si>
  <si>
    <t>1035c</t>
  </si>
  <si>
    <t>1035d</t>
  </si>
  <si>
    <t>1036a</t>
  </si>
  <si>
    <t>1036b</t>
  </si>
  <si>
    <t>1036c</t>
  </si>
  <si>
    <t>DIY Power Tools (External) (PC 3)</t>
  </si>
  <si>
    <t>1037a</t>
  </si>
  <si>
    <t>DIY Power Tools (External) (PC 4)</t>
  </si>
  <si>
    <t>1037b</t>
  </si>
  <si>
    <t>1022D</t>
  </si>
  <si>
    <t>1022.2.3</t>
  </si>
  <si>
    <t>630.2.1</t>
  </si>
  <si>
    <t>Notebook Computers</t>
  </si>
  <si>
    <t>631.2.1</t>
  </si>
  <si>
    <t>632.2.1</t>
  </si>
  <si>
    <t>BC284</t>
  </si>
  <si>
    <t>unknown</t>
  </si>
  <si>
    <t>BC286</t>
  </si>
  <si>
    <t>BC297</t>
  </si>
  <si>
    <t>BC302</t>
  </si>
  <si>
    <t>712.2.1</t>
  </si>
  <si>
    <t>Electric Wheelchairs/Scooters</t>
  </si>
  <si>
    <t>707.2.1</t>
  </si>
  <si>
    <t>728.2.3</t>
  </si>
  <si>
    <t>Marine Battery Charger</t>
  </si>
  <si>
    <t>673.2.1</t>
  </si>
  <si>
    <t>706.2.1</t>
  </si>
  <si>
    <t>706.2.2</t>
  </si>
  <si>
    <t>728.2.1</t>
  </si>
  <si>
    <t>728.2.2</t>
  </si>
  <si>
    <t>734.2.1</t>
  </si>
  <si>
    <t>734.2.2</t>
  </si>
  <si>
    <t>Electric Lawn Mowers</t>
  </si>
  <si>
    <t>676.2.1</t>
  </si>
  <si>
    <t>741.2.1</t>
  </si>
  <si>
    <t>742.2.1</t>
  </si>
  <si>
    <t>743.2.1</t>
  </si>
  <si>
    <t>744.2.1</t>
  </si>
  <si>
    <t>674.2.1</t>
  </si>
  <si>
    <t>726.2.1</t>
  </si>
  <si>
    <t>BC299</t>
  </si>
  <si>
    <t>Handheld Monitor</t>
  </si>
  <si>
    <t>Portable Media Players</t>
  </si>
  <si>
    <t>Portable Music Player</t>
  </si>
  <si>
    <t>BC295</t>
  </si>
  <si>
    <t>735.2.1</t>
  </si>
  <si>
    <t>738.2.1</t>
  </si>
  <si>
    <t>740.2.1</t>
  </si>
  <si>
    <t>BC289</t>
  </si>
  <si>
    <t>Electronic Reader</t>
  </si>
  <si>
    <t>1013.2.3 (1060)</t>
  </si>
  <si>
    <t>GPS</t>
  </si>
  <si>
    <t>1015.2.3 (1039)</t>
  </si>
  <si>
    <t>BC298</t>
  </si>
  <si>
    <t>UPS</t>
  </si>
  <si>
    <t>694.2.1</t>
  </si>
  <si>
    <t>695.2.1</t>
  </si>
  <si>
    <t>700.2.1</t>
  </si>
  <si>
    <t>729.2.1</t>
  </si>
  <si>
    <t>730.2.1</t>
  </si>
  <si>
    <t>CSL0 boundary</t>
  </si>
  <si>
    <t>CSL1 boundary</t>
  </si>
  <si>
    <t>CSL2 boundary</t>
  </si>
  <si>
    <t>CSL3 boundary</t>
  </si>
  <si>
    <t>PG&amp;E boundary</t>
  </si>
  <si>
    <t>m0</t>
  </si>
  <si>
    <t>b0</t>
  </si>
  <si>
    <t>Condition</t>
  </si>
  <si>
    <t>m1</t>
  </si>
  <si>
    <t>b1</t>
  </si>
  <si>
    <t>m2</t>
  </si>
  <si>
    <t>b2</t>
  </si>
  <si>
    <t>m3</t>
  </si>
  <si>
    <t>b3</t>
  </si>
  <si>
    <t>m4</t>
  </si>
  <si>
    <t>b4</t>
  </si>
  <si>
    <t xml:space="preserve">Anderson, David A. Economics by Example. Macmillan: 2006. ppg 28 - 30. </t>
  </si>
  <si>
    <t>BC Product Class 1</t>
  </si>
  <si>
    <t>BC Product Class 2</t>
  </si>
  <si>
    <t>BC Product Class 3</t>
  </si>
  <si>
    <t>BC Product Class 4</t>
  </si>
  <si>
    <t>BC Product Class 5</t>
  </si>
  <si>
    <t>BC Product Class 6</t>
  </si>
  <si>
    <t>BC Product Class 7</t>
  </si>
  <si>
    <t>BC Product Class 8</t>
  </si>
  <si>
    <t>BC Product Class 9</t>
  </si>
  <si>
    <t>BC Product Class 10</t>
  </si>
  <si>
    <t>Percent of U.S. Market in California</t>
  </si>
  <si>
    <t>BC Test Data</t>
  </si>
  <si>
    <t>The shipments tab contains all shipments data considered in developing 2008 application shipments. Columns E-AD contain values gathered by DOE through published sources and stakeholder comments, or estimated based upon published sources and stakeholder comments. The team consensus 2008 shipments for each application are found in column AB. Columns AJ-AN and AO-AS describe the percentage of 2009 application shipments that contain BCs and EPSs, respecitively. Columns AT-BE describe the typical BC and EPS voltage and energy for each application, based upon a product survey conducted by DOE, published sources and stakeholder comments. Columns BF-DL describe what percentage of each application's 2009 shipments fall into each BCEPS product class and the number of application shipments for each product class.</t>
  </si>
  <si>
    <t>Columns B-AB list all tested BCs and, based on efficiency testing, determines the highest CSL met by each. Columns AD-AX calculate the resulting efficiency distributions by product class and application, where applicable. The efficiency distribution in California following the implementation of BC standards in the state is estimated, and a weighted average is used to calculate the resulting national efficiency distribution.</t>
  </si>
  <si>
    <t>03.15.2012</t>
  </si>
  <si>
    <t xml:space="preserve">Pulls from other tabs to display all outputs from the Market Assessment and Product Price Determination. </t>
  </si>
</sst>
</file>

<file path=xl/styles.xml><?xml version="1.0" encoding="utf-8"?>
<styleSheet xmlns="http://schemas.openxmlformats.org/spreadsheetml/2006/main">
  <numFmts count="11">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000"/>
    <numFmt numFmtId="168" formatCode="0.0%"/>
    <numFmt numFmtId="169" formatCode="&quot;$&quot;#,##0.00"/>
    <numFmt numFmtId="170" formatCode="#,##0.0"/>
    <numFmt numFmtId="171" formatCode="mm/dd/yy;@"/>
    <numFmt numFmtId="172" formatCode="0.000"/>
  </numFmts>
  <fonts count="83">
    <font>
      <sz val="10"/>
      <name val="Arial"/>
    </font>
    <font>
      <sz val="10"/>
      <color theme="1"/>
      <name val="Arial"/>
      <family val="2"/>
    </font>
    <font>
      <sz val="10"/>
      <color theme="1"/>
      <name val="Arial"/>
      <family val="2"/>
    </font>
    <font>
      <sz val="10"/>
      <name val="Arial"/>
      <family val="2"/>
    </font>
    <font>
      <b/>
      <sz val="10"/>
      <name val="Arial"/>
      <family val="2"/>
    </font>
    <font>
      <i/>
      <sz val="10"/>
      <name val="Arial"/>
      <family val="2"/>
    </font>
    <font>
      <sz val="8"/>
      <name val="Arial"/>
      <family val="2"/>
    </font>
    <font>
      <sz val="10"/>
      <name val="Arial"/>
      <family val="2"/>
    </font>
    <font>
      <sz val="11"/>
      <color indexed="8"/>
      <name val="Calibri"/>
      <family val="2"/>
    </font>
    <font>
      <sz val="10"/>
      <name val="Arial"/>
      <family val="2"/>
    </font>
    <font>
      <b/>
      <sz val="15"/>
      <color indexed="56"/>
      <name val="Calibri"/>
      <family val="2"/>
    </font>
    <font>
      <b/>
      <sz val="11"/>
      <color indexed="56"/>
      <name val="Calibri"/>
      <family val="2"/>
    </font>
    <font>
      <b/>
      <sz val="18"/>
      <color indexed="56"/>
      <name val="Cambria"/>
      <family val="2"/>
    </font>
    <font>
      <sz val="8"/>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1"/>
      <color indexed="8"/>
      <name val="Calibri"/>
      <family val="2"/>
    </font>
    <font>
      <sz val="11"/>
      <color indexed="10"/>
      <name val="Calibri"/>
      <family val="2"/>
    </font>
    <font>
      <b/>
      <i/>
      <sz val="10"/>
      <name val="Arial"/>
      <family val="2"/>
    </font>
    <font>
      <b/>
      <sz val="11"/>
      <name val="Arial"/>
      <family val="2"/>
    </font>
    <font>
      <u/>
      <sz val="10"/>
      <name val="Arial"/>
      <family val="2"/>
    </font>
    <font>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1"/>
      <color theme="1"/>
      <name val="Calibri"/>
      <family val="2"/>
      <scheme val="minor"/>
    </font>
    <font>
      <b/>
      <sz val="11"/>
      <color theme="1"/>
      <name val="Calibri"/>
      <family val="2"/>
      <scheme val="minor"/>
    </font>
    <font>
      <b/>
      <u/>
      <sz val="10"/>
      <name val="Arial"/>
      <family val="2"/>
    </font>
    <font>
      <sz val="12"/>
      <name val="Times New Roman"/>
      <family val="1"/>
    </font>
    <font>
      <sz val="11"/>
      <color rgb="FF000000"/>
      <name val="Calibri"/>
      <family val="2"/>
    </font>
    <font>
      <sz val="10"/>
      <color rgb="FF000000"/>
      <name val="Arial"/>
      <family val="2"/>
    </font>
    <font>
      <b/>
      <i/>
      <sz val="11"/>
      <color indexed="8"/>
      <name val="Calibri"/>
      <family val="2"/>
    </font>
    <font>
      <b/>
      <sz val="20"/>
      <color indexed="8"/>
      <name val="Calibri"/>
      <family val="2"/>
    </font>
    <font>
      <b/>
      <sz val="11"/>
      <name val="Calibri"/>
      <family val="2"/>
    </font>
    <font>
      <b/>
      <sz val="24"/>
      <color indexed="8"/>
      <name val="Calibri"/>
      <family val="2"/>
    </font>
    <font>
      <sz val="11"/>
      <name val="Calibri"/>
      <family val="2"/>
    </font>
    <font>
      <b/>
      <sz val="28"/>
      <color theme="0"/>
      <name val="Calibri"/>
      <family val="2"/>
    </font>
    <font>
      <b/>
      <sz val="11"/>
      <color theme="0"/>
      <name val="Calibri"/>
      <family val="2"/>
    </font>
    <font>
      <b/>
      <sz val="18"/>
      <color indexed="81"/>
      <name val="Tahoma"/>
      <family val="2"/>
    </font>
    <font>
      <sz val="18"/>
      <color indexed="81"/>
      <name val="Tahoma"/>
      <family val="2"/>
    </font>
    <font>
      <b/>
      <sz val="18"/>
      <name val="Arial"/>
      <family val="2"/>
    </font>
    <font>
      <b/>
      <u/>
      <sz val="18"/>
      <name val="Arial"/>
      <family val="2"/>
    </font>
    <font>
      <u/>
      <sz val="18"/>
      <name val="Arial"/>
      <family val="2"/>
    </font>
    <font>
      <sz val="18"/>
      <name val="Arial"/>
      <family val="2"/>
    </font>
    <font>
      <sz val="11"/>
      <color rgb="FFFF0000"/>
      <name val="Calibri"/>
      <family val="2"/>
      <scheme val="minor"/>
    </font>
    <font>
      <sz val="11"/>
      <color rgb="FF0070C0"/>
      <name val="Calibri"/>
      <family val="2"/>
      <scheme val="minor"/>
    </font>
    <font>
      <b/>
      <sz val="14"/>
      <color theme="1"/>
      <name val="Calibri"/>
      <family val="2"/>
      <scheme val="minor"/>
    </font>
    <font>
      <b/>
      <sz val="12"/>
      <color rgb="FFFF0000"/>
      <name val="Calibri"/>
      <family val="2"/>
    </font>
    <font>
      <b/>
      <sz val="11"/>
      <color rgb="FFFF0000"/>
      <name val="Calibri"/>
      <family val="2"/>
    </font>
    <font>
      <sz val="11"/>
      <color indexed="8"/>
      <name val="Calibri"/>
      <family val="2"/>
      <scheme val="minor"/>
    </font>
    <font>
      <sz val="11"/>
      <name val="Calibri"/>
      <family val="2"/>
      <scheme val="minor"/>
    </font>
    <font>
      <b/>
      <sz val="11"/>
      <color rgb="FFFF0000"/>
      <name val="Calibri"/>
      <family val="2"/>
      <scheme val="minor"/>
    </font>
    <font>
      <b/>
      <i/>
      <sz val="11"/>
      <name val="Calibri"/>
      <family val="2"/>
      <scheme val="minor"/>
    </font>
    <font>
      <b/>
      <i/>
      <sz val="11"/>
      <color indexed="8"/>
      <name val="Calibri"/>
      <family val="2"/>
      <scheme val="minor"/>
    </font>
    <font>
      <b/>
      <i/>
      <sz val="11"/>
      <color theme="1"/>
      <name val="Calibri"/>
      <family val="2"/>
      <scheme val="minor"/>
    </font>
    <font>
      <b/>
      <sz val="11"/>
      <name val="Calibri"/>
      <family val="2"/>
      <scheme val="minor"/>
    </font>
    <font>
      <b/>
      <sz val="11"/>
      <color indexed="8"/>
      <name val="Calibri"/>
      <family val="2"/>
      <scheme val="minor"/>
    </font>
    <font>
      <sz val="11"/>
      <color theme="3" tint="0.39997558519241921"/>
      <name val="Calibri"/>
      <family val="2"/>
      <scheme val="minor"/>
    </font>
  </fonts>
  <fills count="95">
    <fill>
      <patternFill patternType="none"/>
    </fill>
    <fill>
      <patternFill patternType="gray125"/>
    </fill>
    <fill>
      <patternFill patternType="solid">
        <fgColor indexed="31"/>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51"/>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theme="8" tint="0.59999389629810485"/>
        <bgColor indexed="64"/>
      </patternFill>
    </fill>
    <fill>
      <patternFill patternType="solid">
        <fgColor theme="7" tint="0.59999389629810485"/>
        <bgColor indexed="64"/>
      </patternFill>
    </fill>
    <fill>
      <patternFill patternType="mediumGray">
        <fgColor indexed="9"/>
        <bgColor indexed="13"/>
      </patternFill>
    </fill>
    <fill>
      <patternFill patternType="solid">
        <fgColor rgb="FF00B0F0"/>
        <bgColor indexed="64"/>
      </patternFill>
    </fill>
    <fill>
      <patternFill patternType="solid">
        <fgColor rgb="FF92D050"/>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249977111117893"/>
        <bgColor indexed="64"/>
      </patternFill>
    </fill>
    <fill>
      <patternFill patternType="solid">
        <fgColor rgb="FF00B050"/>
        <bgColor indexed="64"/>
      </patternFill>
    </fill>
    <fill>
      <patternFill patternType="solid">
        <fgColor theme="3" tint="0.59999389629810485"/>
        <bgColor indexed="64"/>
      </patternFill>
    </fill>
    <fill>
      <patternFill patternType="solid">
        <fgColor theme="1" tint="0.34998626667073579"/>
        <bgColor indexed="64"/>
      </patternFill>
    </fill>
    <fill>
      <patternFill patternType="solid">
        <fgColor indexed="36"/>
        <bgColor indexed="64"/>
      </patternFill>
    </fill>
    <fill>
      <patternFill patternType="solid">
        <fgColor indexed="46"/>
        <bgColor indexed="64"/>
      </patternFill>
    </fill>
    <fill>
      <patternFill patternType="solid">
        <fgColor indexed="23"/>
        <bgColor indexed="64"/>
      </patternFill>
    </fill>
    <fill>
      <patternFill patternType="solid">
        <fgColor theme="0" tint="-0.499984740745262"/>
        <bgColor indexed="64"/>
      </patternFill>
    </fill>
    <fill>
      <patternFill patternType="solid">
        <fgColor indexed="41"/>
        <bgColor indexed="64"/>
      </patternFill>
    </fill>
    <fill>
      <patternFill patternType="solid">
        <fgColor rgb="FF99FF99"/>
        <bgColor indexed="64"/>
      </patternFill>
    </fill>
    <fill>
      <patternFill patternType="solid">
        <fgColor theme="5"/>
        <bgColor indexed="64"/>
      </patternFill>
    </fill>
    <fill>
      <patternFill patternType="solid">
        <fgColor theme="3" tint="0.79998168889431442"/>
        <bgColor indexed="64"/>
      </patternFill>
    </fill>
    <fill>
      <patternFill patternType="solid">
        <fgColor theme="6" tint="0.59999389629810485"/>
        <bgColor indexed="9"/>
      </patternFill>
    </fill>
    <fill>
      <patternFill patternType="solid">
        <fgColor theme="8" tint="0.59999389629810485"/>
        <bgColor indexed="9"/>
      </patternFill>
    </fill>
    <fill>
      <patternFill patternType="solid">
        <fgColor theme="9" tint="0.39997558519241921"/>
        <bgColor indexed="64"/>
      </patternFill>
    </fill>
    <fill>
      <patternFill patternType="solid">
        <fgColor theme="9" tint="0.39997558519241921"/>
        <bgColor indexed="9"/>
      </patternFill>
    </fill>
    <fill>
      <patternFill patternType="solid">
        <fgColor theme="5" tint="0.79998168889431442"/>
        <bgColor indexed="64"/>
      </patternFill>
    </fill>
    <fill>
      <patternFill patternType="solid">
        <fgColor rgb="FFC00000"/>
        <bgColor indexed="64"/>
      </patternFill>
    </fill>
    <fill>
      <patternFill patternType="solid">
        <fgColor rgb="FFFECECE"/>
        <bgColor indexed="64"/>
      </patternFill>
    </fill>
    <fill>
      <patternFill patternType="solid">
        <fgColor theme="4" tint="0.59999389629810485"/>
        <bgColor indexed="9"/>
      </patternFill>
    </fill>
    <fill>
      <patternFill patternType="solid">
        <fgColor rgb="FFFFFF99"/>
        <bgColor indexed="64"/>
      </patternFill>
    </fill>
  </fills>
  <borders count="10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Dashed">
        <color indexed="64"/>
      </top>
      <bottom style="thin">
        <color indexed="64"/>
      </bottom>
      <diagonal/>
    </border>
    <border>
      <left style="thin">
        <color indexed="64"/>
      </left>
      <right style="medium">
        <color indexed="64"/>
      </right>
      <top style="mediumDashed">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Dashed">
        <color indexed="64"/>
      </top>
      <bottom style="medium">
        <color indexed="64"/>
      </bottom>
      <diagonal/>
    </border>
    <border>
      <left style="thin">
        <color indexed="64"/>
      </left>
      <right style="medium">
        <color indexed="64"/>
      </right>
      <top style="mediumDashed">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Dashed">
        <color indexed="64"/>
      </bottom>
      <diagonal/>
    </border>
    <border>
      <left style="thin">
        <color indexed="64"/>
      </left>
      <right style="medium">
        <color indexed="64"/>
      </right>
      <top/>
      <bottom style="mediumDashed">
        <color indexed="64"/>
      </bottom>
      <diagonal/>
    </border>
    <border>
      <left/>
      <right style="thick">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ck">
        <color indexed="64"/>
      </right>
      <top style="medium">
        <color indexed="64"/>
      </top>
      <bottom/>
      <diagonal/>
    </border>
    <border>
      <left/>
      <right/>
      <top style="thick">
        <color indexed="64"/>
      </top>
      <bottom style="medium">
        <color indexed="64"/>
      </bottom>
      <diagonal/>
    </border>
    <border>
      <left style="thick">
        <color indexed="64"/>
      </left>
      <right style="medium">
        <color indexed="64"/>
      </right>
      <top/>
      <bottom/>
      <diagonal/>
    </border>
    <border>
      <left style="thick">
        <color indexed="64"/>
      </left>
      <right style="medium">
        <color indexed="64"/>
      </right>
      <top style="medium">
        <color indexed="64"/>
      </top>
      <bottom/>
      <diagonal/>
    </border>
    <border>
      <left style="thick">
        <color indexed="64"/>
      </left>
      <right style="medium">
        <color indexed="64"/>
      </right>
      <top/>
      <bottom style="thick">
        <color indexed="64"/>
      </bottom>
      <diagonal/>
    </border>
    <border>
      <left style="thin">
        <color indexed="64"/>
      </left>
      <right/>
      <top style="thick">
        <color indexed="64"/>
      </top>
      <bottom style="medium">
        <color indexed="64"/>
      </bottom>
      <diagonal/>
    </border>
    <border>
      <left/>
      <right style="thin">
        <color indexed="64"/>
      </right>
      <top style="thick">
        <color indexed="64"/>
      </top>
      <bottom style="medium">
        <color indexed="64"/>
      </bottom>
      <diagonal/>
    </border>
    <border>
      <left style="thick">
        <color indexed="64"/>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auto="1"/>
      </left>
      <right/>
      <top/>
      <bottom/>
      <diagonal/>
    </border>
    <border>
      <left/>
      <right style="medium">
        <color auto="1"/>
      </right>
      <top/>
      <bottom/>
      <diagonal/>
    </border>
    <border>
      <left/>
      <right style="medium">
        <color auto="1"/>
      </right>
      <top/>
      <bottom style="medium">
        <color auto="1"/>
      </bottom>
      <diagonal/>
    </border>
    <border>
      <left style="medium">
        <color indexed="64"/>
      </left>
      <right style="medium">
        <color auto="1"/>
      </right>
      <top style="thin">
        <color indexed="64"/>
      </top>
      <bottom style="medium">
        <color auto="1"/>
      </bottom>
      <diagonal/>
    </border>
    <border>
      <left style="medium">
        <color indexed="64"/>
      </left>
      <right/>
      <top style="thin">
        <color indexed="64"/>
      </top>
      <bottom/>
      <diagonal/>
    </border>
    <border>
      <left/>
      <right style="medium">
        <color auto="1"/>
      </right>
      <top style="thin">
        <color indexed="64"/>
      </top>
      <bottom/>
      <diagonal/>
    </border>
    <border>
      <left style="medium">
        <color indexed="64"/>
      </left>
      <right style="medium">
        <color auto="1"/>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auto="1"/>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s>
  <cellStyleXfs count="3852">
    <xf numFmtId="0" fontId="0"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2" borderId="0" applyNumberFormat="0" applyBorder="0" applyAlignment="0" applyProtection="0"/>
    <xf numFmtId="0" fontId="33" fillId="31" borderId="0" applyNumberFormat="0" applyBorder="0" applyAlignment="0" applyProtection="0"/>
    <xf numFmtId="0" fontId="8" fillId="2" borderId="0" applyNumberFormat="0" applyBorder="0" applyAlignment="0" applyProtection="0"/>
    <xf numFmtId="0" fontId="33" fillId="31" borderId="0" applyNumberFormat="0" applyBorder="0" applyAlignment="0" applyProtection="0"/>
    <xf numFmtId="0" fontId="8" fillId="2" borderId="0" applyNumberFormat="0" applyBorder="0" applyAlignment="0" applyProtection="0"/>
    <xf numFmtId="0" fontId="33" fillId="31" borderId="0" applyNumberFormat="0" applyBorder="0" applyAlignment="0" applyProtection="0"/>
    <xf numFmtId="0" fontId="8" fillId="2" borderId="0" applyNumberFormat="0" applyBorder="0" applyAlignment="0" applyProtection="0"/>
    <xf numFmtId="0" fontId="33" fillId="31" borderId="0" applyNumberFormat="0" applyBorder="0" applyAlignment="0" applyProtection="0"/>
    <xf numFmtId="0" fontId="8" fillId="3" borderId="0" applyNumberFormat="0" applyBorder="0" applyAlignment="0" applyProtection="0"/>
    <xf numFmtId="0" fontId="33" fillId="32" borderId="0" applyNumberFormat="0" applyBorder="0" applyAlignment="0" applyProtection="0"/>
    <xf numFmtId="0" fontId="8" fillId="3" borderId="0" applyNumberFormat="0" applyBorder="0" applyAlignment="0" applyProtection="0"/>
    <xf numFmtId="0" fontId="33" fillId="32" borderId="0" applyNumberFormat="0" applyBorder="0" applyAlignment="0" applyProtection="0"/>
    <xf numFmtId="0" fontId="8" fillId="3" borderId="0" applyNumberFormat="0" applyBorder="0" applyAlignment="0" applyProtection="0"/>
    <xf numFmtId="0" fontId="33" fillId="32" borderId="0" applyNumberFormat="0" applyBorder="0" applyAlignment="0" applyProtection="0"/>
    <xf numFmtId="0" fontId="8" fillId="3" borderId="0" applyNumberFormat="0" applyBorder="0" applyAlignment="0" applyProtection="0"/>
    <xf numFmtId="0" fontId="33" fillId="32" borderId="0" applyNumberFormat="0" applyBorder="0" applyAlignment="0" applyProtection="0"/>
    <xf numFmtId="0" fontId="8" fillId="5" borderId="0" applyNumberFormat="0" applyBorder="0" applyAlignment="0" applyProtection="0"/>
    <xf numFmtId="0" fontId="33" fillId="33" borderId="0" applyNumberFormat="0" applyBorder="0" applyAlignment="0" applyProtection="0"/>
    <xf numFmtId="0" fontId="8" fillId="5" borderId="0" applyNumberFormat="0" applyBorder="0" applyAlignment="0" applyProtection="0"/>
    <xf numFmtId="0" fontId="33" fillId="33" borderId="0" applyNumberFormat="0" applyBorder="0" applyAlignment="0" applyProtection="0"/>
    <xf numFmtId="0" fontId="8" fillId="5" borderId="0" applyNumberFormat="0" applyBorder="0" applyAlignment="0" applyProtection="0"/>
    <xf numFmtId="0" fontId="33" fillId="33" borderId="0" applyNumberFormat="0" applyBorder="0" applyAlignment="0" applyProtection="0"/>
    <xf numFmtId="0" fontId="8" fillId="5" borderId="0" applyNumberFormat="0" applyBorder="0" applyAlignment="0" applyProtection="0"/>
    <xf numFmtId="0" fontId="33" fillId="33" borderId="0" applyNumberFormat="0" applyBorder="0" applyAlignment="0" applyProtection="0"/>
    <xf numFmtId="0" fontId="8" fillId="7" borderId="0" applyNumberFormat="0" applyBorder="0" applyAlignment="0" applyProtection="0"/>
    <xf numFmtId="0" fontId="33" fillId="34" borderId="0" applyNumberFormat="0" applyBorder="0" applyAlignment="0" applyProtection="0"/>
    <xf numFmtId="0" fontId="8" fillId="7" borderId="0" applyNumberFormat="0" applyBorder="0" applyAlignment="0" applyProtection="0"/>
    <xf numFmtId="0" fontId="33" fillId="34" borderId="0" applyNumberFormat="0" applyBorder="0" applyAlignment="0" applyProtection="0"/>
    <xf numFmtId="0" fontId="8" fillId="7" borderId="0" applyNumberFormat="0" applyBorder="0" applyAlignment="0" applyProtection="0"/>
    <xf numFmtId="0" fontId="33" fillId="34" borderId="0" applyNumberFormat="0" applyBorder="0" applyAlignment="0" applyProtection="0"/>
    <xf numFmtId="0" fontId="8" fillId="7" borderId="0" applyNumberFormat="0" applyBorder="0" applyAlignment="0" applyProtection="0"/>
    <xf numFmtId="0" fontId="33" fillId="34" borderId="0" applyNumberFormat="0" applyBorder="0" applyAlignment="0" applyProtection="0"/>
    <xf numFmtId="0" fontId="8" fillId="8" borderId="0" applyNumberFormat="0" applyBorder="0" applyAlignment="0" applyProtection="0"/>
    <xf numFmtId="0" fontId="33" fillId="35" borderId="0" applyNumberFormat="0" applyBorder="0" applyAlignment="0" applyProtection="0"/>
    <xf numFmtId="0" fontId="8" fillId="8" borderId="0" applyNumberFormat="0" applyBorder="0" applyAlignment="0" applyProtection="0"/>
    <xf numFmtId="0" fontId="33" fillId="35" borderId="0" applyNumberFormat="0" applyBorder="0" applyAlignment="0" applyProtection="0"/>
    <xf numFmtId="0" fontId="8" fillId="8" borderId="0" applyNumberFormat="0" applyBorder="0" applyAlignment="0" applyProtection="0"/>
    <xf numFmtId="0" fontId="33" fillId="35" borderId="0" applyNumberFormat="0" applyBorder="0" applyAlignment="0" applyProtection="0"/>
    <xf numFmtId="0" fontId="8" fillId="8" borderId="0" applyNumberFormat="0" applyBorder="0" applyAlignment="0" applyProtection="0"/>
    <xf numFmtId="0" fontId="33" fillId="35" borderId="0" applyNumberFormat="0" applyBorder="0" applyAlignment="0" applyProtection="0"/>
    <xf numFmtId="0" fontId="8" fillId="4" borderId="0" applyNumberFormat="0" applyBorder="0" applyAlignment="0" applyProtection="0"/>
    <xf numFmtId="0" fontId="33" fillId="36" borderId="0" applyNumberFormat="0" applyBorder="0" applyAlignment="0" applyProtection="0"/>
    <xf numFmtId="0" fontId="8" fillId="4" borderId="0" applyNumberFormat="0" applyBorder="0" applyAlignment="0" applyProtection="0"/>
    <xf numFmtId="0" fontId="33" fillId="36" borderId="0" applyNumberFormat="0" applyBorder="0" applyAlignment="0" applyProtection="0"/>
    <xf numFmtId="0" fontId="8" fillId="4" borderId="0" applyNumberFormat="0" applyBorder="0" applyAlignment="0" applyProtection="0"/>
    <xf numFmtId="0" fontId="33" fillId="36" borderId="0" applyNumberFormat="0" applyBorder="0" applyAlignment="0" applyProtection="0"/>
    <xf numFmtId="0" fontId="8" fillId="4" borderId="0" applyNumberFormat="0" applyBorder="0" applyAlignment="0" applyProtection="0"/>
    <xf numFmtId="0" fontId="33" fillId="36" borderId="0" applyNumberFormat="0" applyBorder="0" applyAlignment="0" applyProtection="0"/>
    <xf numFmtId="0" fontId="8" fillId="9" borderId="0" applyNumberFormat="0" applyBorder="0" applyAlignment="0" applyProtection="0"/>
    <xf numFmtId="0" fontId="33" fillId="37" borderId="0" applyNumberFormat="0" applyBorder="0" applyAlignment="0" applyProtection="0"/>
    <xf numFmtId="0" fontId="8" fillId="9" borderId="0" applyNumberFormat="0" applyBorder="0" applyAlignment="0" applyProtection="0"/>
    <xf numFmtId="0" fontId="33" fillId="37" borderId="0" applyNumberFormat="0" applyBorder="0" applyAlignment="0" applyProtection="0"/>
    <xf numFmtId="0" fontId="8" fillId="9" borderId="0" applyNumberFormat="0" applyBorder="0" applyAlignment="0" applyProtection="0"/>
    <xf numFmtId="0" fontId="33" fillId="37" borderId="0" applyNumberFormat="0" applyBorder="0" applyAlignment="0" applyProtection="0"/>
    <xf numFmtId="0" fontId="8" fillId="9" borderId="0" applyNumberFormat="0" applyBorder="0" applyAlignment="0" applyProtection="0"/>
    <xf numFmtId="0" fontId="33" fillId="37" borderId="0" applyNumberFormat="0" applyBorder="0" applyAlignment="0" applyProtection="0"/>
    <xf numFmtId="0" fontId="8" fillId="11" borderId="0" applyNumberFormat="0" applyBorder="0" applyAlignment="0" applyProtection="0"/>
    <xf numFmtId="0" fontId="33" fillId="38" borderId="0" applyNumberFormat="0" applyBorder="0" applyAlignment="0" applyProtection="0"/>
    <xf numFmtId="0" fontId="8" fillId="11" borderId="0" applyNumberFormat="0" applyBorder="0" applyAlignment="0" applyProtection="0"/>
    <xf numFmtId="0" fontId="33" fillId="38" borderId="0" applyNumberFormat="0" applyBorder="0" applyAlignment="0" applyProtection="0"/>
    <xf numFmtId="0" fontId="8" fillId="11" borderId="0" applyNumberFormat="0" applyBorder="0" applyAlignment="0" applyProtection="0"/>
    <xf numFmtId="0" fontId="33" fillId="38" borderId="0" applyNumberFormat="0" applyBorder="0" applyAlignment="0" applyProtection="0"/>
    <xf numFmtId="0" fontId="8" fillId="11" borderId="0" applyNumberFormat="0" applyBorder="0" applyAlignment="0" applyProtection="0"/>
    <xf numFmtId="0" fontId="33" fillId="38" borderId="0" applyNumberFormat="0" applyBorder="0" applyAlignment="0" applyProtection="0"/>
    <xf numFmtId="0" fontId="8" fillId="12" borderId="0" applyNumberFormat="0" applyBorder="0" applyAlignment="0" applyProtection="0"/>
    <xf numFmtId="0" fontId="33" fillId="39" borderId="0" applyNumberFormat="0" applyBorder="0" applyAlignment="0" applyProtection="0"/>
    <xf numFmtId="0" fontId="8" fillId="12" borderId="0" applyNumberFormat="0" applyBorder="0" applyAlignment="0" applyProtection="0"/>
    <xf numFmtId="0" fontId="33" fillId="39" borderId="0" applyNumberFormat="0" applyBorder="0" applyAlignment="0" applyProtection="0"/>
    <xf numFmtId="0" fontId="8" fillId="12" borderId="0" applyNumberFormat="0" applyBorder="0" applyAlignment="0" applyProtection="0"/>
    <xf numFmtId="0" fontId="33" fillId="39" borderId="0" applyNumberFormat="0" applyBorder="0" applyAlignment="0" applyProtection="0"/>
    <xf numFmtId="0" fontId="8" fillId="12" borderId="0" applyNumberFormat="0" applyBorder="0" applyAlignment="0" applyProtection="0"/>
    <xf numFmtId="0" fontId="33" fillId="3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33" fillId="40" borderId="0" applyNumberFormat="0" applyBorder="0" applyAlignment="0" applyProtection="0"/>
    <xf numFmtId="0" fontId="8" fillId="7" borderId="0" applyNumberFormat="0" applyBorder="0" applyAlignment="0" applyProtection="0"/>
    <xf numFmtId="0" fontId="33" fillId="40" borderId="0" applyNumberFormat="0" applyBorder="0" applyAlignment="0" applyProtection="0"/>
    <xf numFmtId="0" fontId="8" fillId="7" borderId="0" applyNumberFormat="0" applyBorder="0" applyAlignment="0" applyProtection="0"/>
    <xf numFmtId="0" fontId="33" fillId="40" borderId="0" applyNumberFormat="0" applyBorder="0" applyAlignment="0" applyProtection="0"/>
    <xf numFmtId="0" fontId="8" fillId="7" borderId="0" applyNumberFormat="0" applyBorder="0" applyAlignment="0" applyProtection="0"/>
    <xf numFmtId="0" fontId="33" fillId="4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33" fillId="41" borderId="0" applyNumberFormat="0" applyBorder="0" applyAlignment="0" applyProtection="0"/>
    <xf numFmtId="0" fontId="8" fillId="9" borderId="0" applyNumberFormat="0" applyBorder="0" applyAlignment="0" applyProtection="0"/>
    <xf numFmtId="0" fontId="33" fillId="41" borderId="0" applyNumberFormat="0" applyBorder="0" applyAlignment="0" applyProtection="0"/>
    <xf numFmtId="0" fontId="8" fillId="9" borderId="0" applyNumberFormat="0" applyBorder="0" applyAlignment="0" applyProtection="0"/>
    <xf numFmtId="0" fontId="33" fillId="41" borderId="0" applyNumberFormat="0" applyBorder="0" applyAlignment="0" applyProtection="0"/>
    <xf numFmtId="0" fontId="8" fillId="9" borderId="0" applyNumberFormat="0" applyBorder="0" applyAlignment="0" applyProtection="0"/>
    <xf numFmtId="0" fontId="33" fillId="41" borderId="0" applyNumberFormat="0" applyBorder="0" applyAlignment="0" applyProtection="0"/>
    <xf numFmtId="0" fontId="8" fillId="14" borderId="0" applyNumberFormat="0" applyBorder="0" applyAlignment="0" applyProtection="0"/>
    <xf numFmtId="0" fontId="33" fillId="42" borderId="0" applyNumberFormat="0" applyBorder="0" applyAlignment="0" applyProtection="0"/>
    <xf numFmtId="0" fontId="8" fillId="14" borderId="0" applyNumberFormat="0" applyBorder="0" applyAlignment="0" applyProtection="0"/>
    <xf numFmtId="0" fontId="33" fillId="42" borderId="0" applyNumberFormat="0" applyBorder="0" applyAlignment="0" applyProtection="0"/>
    <xf numFmtId="0" fontId="8" fillId="14" borderId="0" applyNumberFormat="0" applyBorder="0" applyAlignment="0" applyProtection="0"/>
    <xf numFmtId="0" fontId="33" fillId="42" borderId="0" applyNumberFormat="0" applyBorder="0" applyAlignment="0" applyProtection="0"/>
    <xf numFmtId="0" fontId="8" fillId="14" borderId="0" applyNumberFormat="0" applyBorder="0" applyAlignment="0" applyProtection="0"/>
    <xf numFmtId="0" fontId="33" fillId="42" borderId="0" applyNumberFormat="0" applyBorder="0" applyAlignment="0" applyProtection="0"/>
    <xf numFmtId="0" fontId="15" fillId="15" borderId="0" applyNumberFormat="0" applyBorder="0" applyAlignment="0" applyProtection="0"/>
    <xf numFmtId="0" fontId="34" fillId="43" borderId="0" applyNumberFormat="0" applyBorder="0" applyAlignment="0" applyProtection="0"/>
    <xf numFmtId="0" fontId="15" fillId="15" borderId="0" applyNumberFormat="0" applyBorder="0" applyAlignment="0" applyProtection="0"/>
    <xf numFmtId="0" fontId="34" fillId="43" borderId="0" applyNumberFormat="0" applyBorder="0" applyAlignment="0" applyProtection="0"/>
    <xf numFmtId="0" fontId="15" fillId="15" borderId="0" applyNumberFormat="0" applyBorder="0" applyAlignment="0" applyProtection="0"/>
    <xf numFmtId="0" fontId="34" fillId="43" borderId="0" applyNumberFormat="0" applyBorder="0" applyAlignment="0" applyProtection="0"/>
    <xf numFmtId="0" fontId="15" fillId="15" borderId="0" applyNumberFormat="0" applyBorder="0" applyAlignment="0" applyProtection="0"/>
    <xf numFmtId="0" fontId="34" fillId="43" borderId="0" applyNumberFormat="0" applyBorder="0" applyAlignment="0" applyProtection="0"/>
    <xf numFmtId="0" fontId="15" fillId="11" borderId="0" applyNumberFormat="0" applyBorder="0" applyAlignment="0" applyProtection="0"/>
    <xf numFmtId="0" fontId="34" fillId="44" borderId="0" applyNumberFormat="0" applyBorder="0" applyAlignment="0" applyProtection="0"/>
    <xf numFmtId="0" fontId="15" fillId="11" borderId="0" applyNumberFormat="0" applyBorder="0" applyAlignment="0" applyProtection="0"/>
    <xf numFmtId="0" fontId="34" fillId="44" borderId="0" applyNumberFormat="0" applyBorder="0" applyAlignment="0" applyProtection="0"/>
    <xf numFmtId="0" fontId="15" fillId="11" borderId="0" applyNumberFormat="0" applyBorder="0" applyAlignment="0" applyProtection="0"/>
    <xf numFmtId="0" fontId="34" fillId="44" borderId="0" applyNumberFormat="0" applyBorder="0" applyAlignment="0" applyProtection="0"/>
    <xf numFmtId="0" fontId="15" fillId="11" borderId="0" applyNumberFormat="0" applyBorder="0" applyAlignment="0" applyProtection="0"/>
    <xf numFmtId="0" fontId="34" fillId="44" borderId="0" applyNumberFormat="0" applyBorder="0" applyAlignment="0" applyProtection="0"/>
    <xf numFmtId="0" fontId="15" fillId="12" borderId="0" applyNumberFormat="0" applyBorder="0" applyAlignment="0" applyProtection="0"/>
    <xf numFmtId="0" fontId="34" fillId="45" borderId="0" applyNumberFormat="0" applyBorder="0" applyAlignment="0" applyProtection="0"/>
    <xf numFmtId="0" fontId="15" fillId="12" borderId="0" applyNumberFormat="0" applyBorder="0" applyAlignment="0" applyProtection="0"/>
    <xf numFmtId="0" fontId="34" fillId="45" borderId="0" applyNumberFormat="0" applyBorder="0" applyAlignment="0" applyProtection="0"/>
    <xf numFmtId="0" fontId="15" fillId="12" borderId="0" applyNumberFormat="0" applyBorder="0" applyAlignment="0" applyProtection="0"/>
    <xf numFmtId="0" fontId="34" fillId="45" borderId="0" applyNumberFormat="0" applyBorder="0" applyAlignment="0" applyProtection="0"/>
    <xf numFmtId="0" fontId="15" fillId="12" borderId="0" applyNumberFormat="0" applyBorder="0" applyAlignment="0" applyProtection="0"/>
    <xf numFmtId="0" fontId="34" fillId="45" borderId="0" applyNumberFormat="0" applyBorder="0" applyAlignment="0" applyProtection="0"/>
    <xf numFmtId="0" fontId="15" fillId="17" borderId="0" applyNumberFormat="0" applyBorder="0" applyAlignment="0" applyProtection="0"/>
    <xf numFmtId="0" fontId="34" fillId="46" borderId="0" applyNumberFormat="0" applyBorder="0" applyAlignment="0" applyProtection="0"/>
    <xf numFmtId="0" fontId="15" fillId="17" borderId="0" applyNumberFormat="0" applyBorder="0" applyAlignment="0" applyProtection="0"/>
    <xf numFmtId="0" fontId="34" fillId="46" borderId="0" applyNumberFormat="0" applyBorder="0" applyAlignment="0" applyProtection="0"/>
    <xf numFmtId="0" fontId="15" fillId="17" borderId="0" applyNumberFormat="0" applyBorder="0" applyAlignment="0" applyProtection="0"/>
    <xf numFmtId="0" fontId="34" fillId="46" borderId="0" applyNumberFormat="0" applyBorder="0" applyAlignment="0" applyProtection="0"/>
    <xf numFmtId="0" fontId="15" fillId="17" borderId="0" applyNumberFormat="0" applyBorder="0" applyAlignment="0" applyProtection="0"/>
    <xf numFmtId="0" fontId="34" fillId="46" borderId="0" applyNumberFormat="0" applyBorder="0" applyAlignment="0" applyProtection="0"/>
    <xf numFmtId="0" fontId="15" fillId="16" borderId="0" applyNumberFormat="0" applyBorder="0" applyAlignment="0" applyProtection="0"/>
    <xf numFmtId="0" fontId="34" fillId="47" borderId="0" applyNumberFormat="0" applyBorder="0" applyAlignment="0" applyProtection="0"/>
    <xf numFmtId="0" fontId="15" fillId="16" borderId="0" applyNumberFormat="0" applyBorder="0" applyAlignment="0" applyProtection="0"/>
    <xf numFmtId="0" fontId="34" fillId="47" borderId="0" applyNumberFormat="0" applyBorder="0" applyAlignment="0" applyProtection="0"/>
    <xf numFmtId="0" fontId="15" fillId="16" borderId="0" applyNumberFormat="0" applyBorder="0" applyAlignment="0" applyProtection="0"/>
    <xf numFmtId="0" fontId="34" fillId="47" borderId="0" applyNumberFormat="0" applyBorder="0" applyAlignment="0" applyProtection="0"/>
    <xf numFmtId="0" fontId="15" fillId="16" borderId="0" applyNumberFormat="0" applyBorder="0" applyAlignment="0" applyProtection="0"/>
    <xf numFmtId="0" fontId="34" fillId="47" borderId="0" applyNumberFormat="0" applyBorder="0" applyAlignment="0" applyProtection="0"/>
    <xf numFmtId="0" fontId="15" fillId="18" borderId="0" applyNumberFormat="0" applyBorder="0" applyAlignment="0" applyProtection="0"/>
    <xf numFmtId="0" fontId="34" fillId="48" borderId="0" applyNumberFormat="0" applyBorder="0" applyAlignment="0" applyProtection="0"/>
    <xf numFmtId="0" fontId="15" fillId="18" borderId="0" applyNumberFormat="0" applyBorder="0" applyAlignment="0" applyProtection="0"/>
    <xf numFmtId="0" fontId="34" fillId="48" borderId="0" applyNumberFormat="0" applyBorder="0" applyAlignment="0" applyProtection="0"/>
    <xf numFmtId="0" fontId="15" fillId="18" borderId="0" applyNumberFormat="0" applyBorder="0" applyAlignment="0" applyProtection="0"/>
    <xf numFmtId="0" fontId="34" fillId="48" borderId="0" applyNumberFormat="0" applyBorder="0" applyAlignment="0" applyProtection="0"/>
    <xf numFmtId="0" fontId="15" fillId="18" borderId="0" applyNumberFormat="0" applyBorder="0" applyAlignment="0" applyProtection="0"/>
    <xf numFmtId="0" fontId="34" fillId="48" borderId="0" applyNumberFormat="0" applyBorder="0" applyAlignment="0" applyProtection="0"/>
    <xf numFmtId="0" fontId="15" fillId="19" borderId="0" applyNumberFormat="0" applyBorder="0" applyAlignment="0" applyProtection="0"/>
    <xf numFmtId="0" fontId="34" fillId="49" borderId="0" applyNumberFormat="0" applyBorder="0" applyAlignment="0" applyProtection="0"/>
    <xf numFmtId="0" fontId="15" fillId="19" borderId="0" applyNumberFormat="0" applyBorder="0" applyAlignment="0" applyProtection="0"/>
    <xf numFmtId="0" fontId="34" fillId="49" borderId="0" applyNumberFormat="0" applyBorder="0" applyAlignment="0" applyProtection="0"/>
    <xf numFmtId="0" fontId="15" fillId="19" borderId="0" applyNumberFormat="0" applyBorder="0" applyAlignment="0" applyProtection="0"/>
    <xf numFmtId="0" fontId="34" fillId="49" borderId="0" applyNumberFormat="0" applyBorder="0" applyAlignment="0" applyProtection="0"/>
    <xf numFmtId="0" fontId="15" fillId="19" borderId="0" applyNumberFormat="0" applyBorder="0" applyAlignment="0" applyProtection="0"/>
    <xf numFmtId="0" fontId="34" fillId="49" borderId="0" applyNumberFormat="0" applyBorder="0" applyAlignment="0" applyProtection="0"/>
    <xf numFmtId="0" fontId="15" fillId="20" borderId="0" applyNumberFormat="0" applyBorder="0" applyAlignment="0" applyProtection="0"/>
    <xf numFmtId="0" fontId="34" fillId="50" borderId="0" applyNumberFormat="0" applyBorder="0" applyAlignment="0" applyProtection="0"/>
    <xf numFmtId="0" fontId="15" fillId="20" borderId="0" applyNumberFormat="0" applyBorder="0" applyAlignment="0" applyProtection="0"/>
    <xf numFmtId="0" fontId="34" fillId="50" borderId="0" applyNumberFormat="0" applyBorder="0" applyAlignment="0" applyProtection="0"/>
    <xf numFmtId="0" fontId="15" fillId="20" borderId="0" applyNumberFormat="0" applyBorder="0" applyAlignment="0" applyProtection="0"/>
    <xf numFmtId="0" fontId="34" fillId="50" borderId="0" applyNumberFormat="0" applyBorder="0" applyAlignment="0" applyProtection="0"/>
    <xf numFmtId="0" fontId="15" fillId="20" borderId="0" applyNumberFormat="0" applyBorder="0" applyAlignment="0" applyProtection="0"/>
    <xf numFmtId="0" fontId="34" fillId="50" borderId="0" applyNumberFormat="0" applyBorder="0" applyAlignment="0" applyProtection="0"/>
    <xf numFmtId="0" fontId="15" fillId="21" borderId="0" applyNumberFormat="0" applyBorder="0" applyAlignment="0" applyProtection="0"/>
    <xf numFmtId="0" fontId="34" fillId="51" borderId="0" applyNumberFormat="0" applyBorder="0" applyAlignment="0" applyProtection="0"/>
    <xf numFmtId="0" fontId="15" fillId="21" borderId="0" applyNumberFormat="0" applyBorder="0" applyAlignment="0" applyProtection="0"/>
    <xf numFmtId="0" fontId="34" fillId="51" borderId="0" applyNumberFormat="0" applyBorder="0" applyAlignment="0" applyProtection="0"/>
    <xf numFmtId="0" fontId="15" fillId="21" borderId="0" applyNumberFormat="0" applyBorder="0" applyAlignment="0" applyProtection="0"/>
    <xf numFmtId="0" fontId="34" fillId="51" borderId="0" applyNumberFormat="0" applyBorder="0" applyAlignment="0" applyProtection="0"/>
    <xf numFmtId="0" fontId="15" fillId="21" borderId="0" applyNumberFormat="0" applyBorder="0" applyAlignment="0" applyProtection="0"/>
    <xf numFmtId="0" fontId="34" fillId="51" borderId="0" applyNumberFormat="0" applyBorder="0" applyAlignment="0" applyProtection="0"/>
    <xf numFmtId="0" fontId="15" fillId="17" borderId="0" applyNumberFormat="0" applyBorder="0" applyAlignment="0" applyProtection="0"/>
    <xf numFmtId="0" fontId="34" fillId="52" borderId="0" applyNumberFormat="0" applyBorder="0" applyAlignment="0" applyProtection="0"/>
    <xf numFmtId="0" fontId="15" fillId="17" borderId="0" applyNumberFormat="0" applyBorder="0" applyAlignment="0" applyProtection="0"/>
    <xf numFmtId="0" fontId="34" fillId="52" borderId="0" applyNumberFormat="0" applyBorder="0" applyAlignment="0" applyProtection="0"/>
    <xf numFmtId="0" fontId="15" fillId="17" borderId="0" applyNumberFormat="0" applyBorder="0" applyAlignment="0" applyProtection="0"/>
    <xf numFmtId="0" fontId="34" fillId="52" borderId="0" applyNumberFormat="0" applyBorder="0" applyAlignment="0" applyProtection="0"/>
    <xf numFmtId="0" fontId="15" fillId="17" borderId="0" applyNumberFormat="0" applyBorder="0" applyAlignment="0" applyProtection="0"/>
    <xf numFmtId="0" fontId="34" fillId="52" borderId="0" applyNumberFormat="0" applyBorder="0" applyAlignment="0" applyProtection="0"/>
    <xf numFmtId="0" fontId="15" fillId="16" borderId="0" applyNumberFormat="0" applyBorder="0" applyAlignment="0" applyProtection="0"/>
    <xf numFmtId="0" fontId="34" fillId="53" borderId="0" applyNumberFormat="0" applyBorder="0" applyAlignment="0" applyProtection="0"/>
    <xf numFmtId="0" fontId="15" fillId="16" borderId="0" applyNumberFormat="0" applyBorder="0" applyAlignment="0" applyProtection="0"/>
    <xf numFmtId="0" fontId="34" fillId="53" borderId="0" applyNumberFormat="0" applyBorder="0" applyAlignment="0" applyProtection="0"/>
    <xf numFmtId="0" fontId="15" fillId="16" borderId="0" applyNumberFormat="0" applyBorder="0" applyAlignment="0" applyProtection="0"/>
    <xf numFmtId="0" fontId="34" fillId="53" borderId="0" applyNumberFormat="0" applyBorder="0" applyAlignment="0" applyProtection="0"/>
    <xf numFmtId="0" fontId="15" fillId="16" borderId="0" applyNumberFormat="0" applyBorder="0" applyAlignment="0" applyProtection="0"/>
    <xf numFmtId="0" fontId="34" fillId="53" borderId="0" applyNumberFormat="0" applyBorder="0" applyAlignment="0" applyProtection="0"/>
    <xf numFmtId="0" fontId="15" fillId="22" borderId="0" applyNumberFormat="0" applyBorder="0" applyAlignment="0" applyProtection="0"/>
    <xf numFmtId="0" fontId="34" fillId="54" borderId="0" applyNumberFormat="0" applyBorder="0" applyAlignment="0" applyProtection="0"/>
    <xf numFmtId="0" fontId="15" fillId="22" borderId="0" applyNumberFormat="0" applyBorder="0" applyAlignment="0" applyProtection="0"/>
    <xf numFmtId="0" fontId="34" fillId="54" borderId="0" applyNumberFormat="0" applyBorder="0" applyAlignment="0" applyProtection="0"/>
    <xf numFmtId="0" fontId="15" fillId="22" borderId="0" applyNumberFormat="0" applyBorder="0" applyAlignment="0" applyProtection="0"/>
    <xf numFmtId="0" fontId="34" fillId="54" borderId="0" applyNumberFormat="0" applyBorder="0" applyAlignment="0" applyProtection="0"/>
    <xf numFmtId="0" fontId="15" fillId="22" borderId="0" applyNumberFormat="0" applyBorder="0" applyAlignment="0" applyProtection="0"/>
    <xf numFmtId="0" fontId="34" fillId="54" borderId="0" applyNumberFormat="0" applyBorder="0" applyAlignment="0" applyProtection="0"/>
    <xf numFmtId="0" fontId="16" fillId="3" borderId="0" applyNumberFormat="0" applyBorder="0" applyAlignment="0" applyProtection="0"/>
    <xf numFmtId="0" fontId="35" fillId="55" borderId="0" applyNumberFormat="0" applyBorder="0" applyAlignment="0" applyProtection="0"/>
    <xf numFmtId="0" fontId="16" fillId="3" borderId="0" applyNumberFormat="0" applyBorder="0" applyAlignment="0" applyProtection="0"/>
    <xf numFmtId="0" fontId="35" fillId="55" borderId="0" applyNumberFormat="0" applyBorder="0" applyAlignment="0" applyProtection="0"/>
    <xf numFmtId="0" fontId="16" fillId="3" borderId="0" applyNumberFormat="0" applyBorder="0" applyAlignment="0" applyProtection="0"/>
    <xf numFmtId="0" fontId="35" fillId="55" borderId="0" applyNumberFormat="0" applyBorder="0" applyAlignment="0" applyProtection="0"/>
    <xf numFmtId="0" fontId="16" fillId="3" borderId="0" applyNumberFormat="0" applyBorder="0" applyAlignment="0" applyProtection="0"/>
    <xf numFmtId="0" fontId="35" fillId="55" borderId="0" applyNumberFormat="0" applyBorder="0" applyAlignment="0" applyProtection="0"/>
    <xf numFmtId="0" fontId="17" fillId="10" borderId="1" applyNumberFormat="0" applyAlignment="0" applyProtection="0"/>
    <xf numFmtId="0" fontId="36" fillId="56" borderId="68" applyNumberFormat="0" applyAlignment="0" applyProtection="0"/>
    <xf numFmtId="0" fontId="17" fillId="10" borderId="1" applyNumberFormat="0" applyAlignment="0" applyProtection="0"/>
    <xf numFmtId="0" fontId="36" fillId="56" borderId="68" applyNumberFormat="0" applyAlignment="0" applyProtection="0"/>
    <xf numFmtId="0" fontId="17" fillId="10" borderId="1" applyNumberFormat="0" applyAlignment="0" applyProtection="0"/>
    <xf numFmtId="0" fontId="36" fillId="56" borderId="68" applyNumberFormat="0" applyAlignment="0" applyProtection="0"/>
    <xf numFmtId="0" fontId="17" fillId="10" borderId="1" applyNumberFormat="0" applyAlignment="0" applyProtection="0"/>
    <xf numFmtId="0" fontId="36" fillId="56" borderId="68" applyNumberFormat="0" applyAlignment="0" applyProtection="0"/>
    <xf numFmtId="0" fontId="18" fillId="23" borderId="2" applyNumberFormat="0" applyAlignment="0" applyProtection="0"/>
    <xf numFmtId="0" fontId="37" fillId="57" borderId="69" applyNumberFormat="0" applyAlignment="0" applyProtection="0"/>
    <xf numFmtId="0" fontId="18" fillId="23" borderId="2" applyNumberFormat="0" applyAlignment="0" applyProtection="0"/>
    <xf numFmtId="0" fontId="37" fillId="57" borderId="69" applyNumberFormat="0" applyAlignment="0" applyProtection="0"/>
    <xf numFmtId="0" fontId="18" fillId="23" borderId="2" applyNumberFormat="0" applyAlignment="0" applyProtection="0"/>
    <xf numFmtId="0" fontId="37" fillId="57" borderId="69" applyNumberFormat="0" applyAlignment="0" applyProtection="0"/>
    <xf numFmtId="0" fontId="18" fillId="23" borderId="2" applyNumberFormat="0" applyAlignment="0" applyProtection="0"/>
    <xf numFmtId="0" fontId="37" fillId="57" borderId="69"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19" fillId="0" borderId="0" applyNumberFormat="0" applyFill="0" applyBorder="0" applyAlignment="0" applyProtection="0"/>
    <xf numFmtId="0" fontId="38" fillId="0" borderId="0" applyNumberFormat="0" applyFill="0" applyBorder="0" applyAlignment="0" applyProtection="0"/>
    <xf numFmtId="0" fontId="19" fillId="0" borderId="0" applyNumberFormat="0" applyFill="0" applyBorder="0" applyAlignment="0" applyProtection="0"/>
    <xf numFmtId="0" fontId="38" fillId="0" borderId="0" applyNumberFormat="0" applyFill="0" applyBorder="0" applyAlignment="0" applyProtection="0"/>
    <xf numFmtId="0" fontId="19" fillId="0" borderId="0" applyNumberFormat="0" applyFill="0" applyBorder="0" applyAlignment="0" applyProtection="0"/>
    <xf numFmtId="0" fontId="38" fillId="0" borderId="0" applyNumberFormat="0" applyFill="0" applyBorder="0" applyAlignment="0" applyProtection="0"/>
    <xf numFmtId="0" fontId="19" fillId="0" borderId="0" applyNumberFormat="0" applyFill="0" applyBorder="0" applyAlignment="0" applyProtection="0"/>
    <xf numFmtId="0" fontId="38" fillId="0" borderId="0" applyNumberFormat="0" applyFill="0" applyBorder="0" applyAlignment="0" applyProtection="0"/>
    <xf numFmtId="0" fontId="20" fillId="5" borderId="0" applyNumberFormat="0" applyBorder="0" applyAlignment="0" applyProtection="0"/>
    <xf numFmtId="0" fontId="39" fillId="58" borderId="0" applyNumberFormat="0" applyBorder="0" applyAlignment="0" applyProtection="0"/>
    <xf numFmtId="0" fontId="20" fillId="5" borderId="0" applyNumberFormat="0" applyBorder="0" applyAlignment="0" applyProtection="0"/>
    <xf numFmtId="0" fontId="39" fillId="58" borderId="0" applyNumberFormat="0" applyBorder="0" applyAlignment="0" applyProtection="0"/>
    <xf numFmtId="0" fontId="20" fillId="5" borderId="0" applyNumberFormat="0" applyBorder="0" applyAlignment="0" applyProtection="0"/>
    <xf numFmtId="0" fontId="39" fillId="58" borderId="0" applyNumberFormat="0" applyBorder="0" applyAlignment="0" applyProtection="0"/>
    <xf numFmtId="0" fontId="20" fillId="5" borderId="0" applyNumberFormat="0" applyBorder="0" applyAlignment="0" applyProtection="0"/>
    <xf numFmtId="0" fontId="39" fillId="58" borderId="0" applyNumberFormat="0" applyBorder="0" applyAlignment="0" applyProtection="0"/>
    <xf numFmtId="0" fontId="10" fillId="0" borderId="3" applyNumberFormat="0" applyFill="0" applyAlignment="0" applyProtection="0"/>
    <xf numFmtId="0" fontId="40" fillId="0" borderId="70" applyNumberFormat="0" applyFill="0" applyAlignment="0" applyProtection="0"/>
    <xf numFmtId="0" fontId="10" fillId="0" borderId="3" applyNumberFormat="0" applyFill="0" applyAlignment="0" applyProtection="0"/>
    <xf numFmtId="0" fontId="40" fillId="0" borderId="70" applyNumberFormat="0" applyFill="0" applyAlignment="0" applyProtection="0"/>
    <xf numFmtId="0" fontId="10" fillId="0" borderId="3" applyNumberFormat="0" applyFill="0" applyAlignment="0" applyProtection="0"/>
    <xf numFmtId="0" fontId="40" fillId="0" borderId="70" applyNumberFormat="0" applyFill="0" applyAlignment="0" applyProtection="0"/>
    <xf numFmtId="0" fontId="10" fillId="0" borderId="3" applyNumberFormat="0" applyFill="0" applyAlignment="0" applyProtection="0"/>
    <xf numFmtId="0" fontId="40" fillId="0" borderId="70" applyNumberFormat="0" applyFill="0" applyAlignment="0" applyProtection="0"/>
    <xf numFmtId="0" fontId="21" fillId="0" borderId="4" applyNumberFormat="0" applyFill="0" applyAlignment="0" applyProtection="0"/>
    <xf numFmtId="0" fontId="41" fillId="0" borderId="71" applyNumberFormat="0" applyFill="0" applyAlignment="0" applyProtection="0"/>
    <xf numFmtId="0" fontId="21" fillId="0" borderId="4" applyNumberFormat="0" applyFill="0" applyAlignment="0" applyProtection="0"/>
    <xf numFmtId="0" fontId="41" fillId="0" borderId="71" applyNumberFormat="0" applyFill="0" applyAlignment="0" applyProtection="0"/>
    <xf numFmtId="0" fontId="21" fillId="0" borderId="4" applyNumberFormat="0" applyFill="0" applyAlignment="0" applyProtection="0"/>
    <xf numFmtId="0" fontId="41" fillId="0" borderId="71" applyNumberFormat="0" applyFill="0" applyAlignment="0" applyProtection="0"/>
    <xf numFmtId="0" fontId="21" fillId="0" borderId="4" applyNumberFormat="0" applyFill="0" applyAlignment="0" applyProtection="0"/>
    <xf numFmtId="0" fontId="41" fillId="0" borderId="71" applyNumberFormat="0" applyFill="0" applyAlignment="0" applyProtection="0"/>
    <xf numFmtId="0" fontId="11" fillId="0" borderId="5" applyNumberFormat="0" applyFill="0" applyAlignment="0" applyProtection="0"/>
    <xf numFmtId="0" fontId="42" fillId="0" borderId="72" applyNumberFormat="0" applyFill="0" applyAlignment="0" applyProtection="0"/>
    <xf numFmtId="0" fontId="11" fillId="0" borderId="5" applyNumberFormat="0" applyFill="0" applyAlignment="0" applyProtection="0"/>
    <xf numFmtId="0" fontId="42" fillId="0" borderId="72" applyNumberFormat="0" applyFill="0" applyAlignment="0" applyProtection="0"/>
    <xf numFmtId="0" fontId="11" fillId="0" borderId="5" applyNumberFormat="0" applyFill="0" applyAlignment="0" applyProtection="0"/>
    <xf numFmtId="0" fontId="42" fillId="0" borderId="72" applyNumberFormat="0" applyFill="0" applyAlignment="0" applyProtection="0"/>
    <xf numFmtId="0" fontId="11" fillId="0" borderId="5" applyNumberFormat="0" applyFill="0" applyAlignment="0" applyProtection="0"/>
    <xf numFmtId="0" fontId="42" fillId="0" borderId="72" applyNumberFormat="0" applyFill="0" applyAlignment="0" applyProtection="0"/>
    <xf numFmtId="0" fontId="11" fillId="0" borderId="0" applyNumberFormat="0" applyFill="0" applyBorder="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42" fillId="0" borderId="0" applyNumberFormat="0" applyFill="0" applyBorder="0" applyAlignment="0" applyProtection="0"/>
    <xf numFmtId="0" fontId="22" fillId="4" borderId="1" applyNumberFormat="0" applyAlignment="0" applyProtection="0"/>
    <xf numFmtId="0" fontId="43" fillId="59" borderId="68" applyNumberFormat="0" applyAlignment="0" applyProtection="0"/>
    <xf numFmtId="0" fontId="22" fillId="4" borderId="1" applyNumberFormat="0" applyAlignment="0" applyProtection="0"/>
    <xf numFmtId="0" fontId="43" fillId="59" borderId="68" applyNumberFormat="0" applyAlignment="0" applyProtection="0"/>
    <xf numFmtId="0" fontId="22" fillId="4" borderId="1" applyNumberFormat="0" applyAlignment="0" applyProtection="0"/>
    <xf numFmtId="0" fontId="43" fillId="59" borderId="68" applyNumberFormat="0" applyAlignment="0" applyProtection="0"/>
    <xf numFmtId="0" fontId="22" fillId="4" borderId="1" applyNumberFormat="0" applyAlignment="0" applyProtection="0"/>
    <xf numFmtId="0" fontId="43" fillId="59" borderId="68" applyNumberFormat="0" applyAlignment="0" applyProtection="0"/>
    <xf numFmtId="0" fontId="23" fillId="0" borderId="6" applyNumberFormat="0" applyFill="0" applyAlignment="0" applyProtection="0"/>
    <xf numFmtId="0" fontId="44" fillId="0" borderId="73" applyNumberFormat="0" applyFill="0" applyAlignment="0" applyProtection="0"/>
    <xf numFmtId="0" fontId="23" fillId="0" borderId="6" applyNumberFormat="0" applyFill="0" applyAlignment="0" applyProtection="0"/>
    <xf numFmtId="0" fontId="44" fillId="0" borderId="73" applyNumberFormat="0" applyFill="0" applyAlignment="0" applyProtection="0"/>
    <xf numFmtId="0" fontId="23" fillId="0" borderId="6" applyNumberFormat="0" applyFill="0" applyAlignment="0" applyProtection="0"/>
    <xf numFmtId="0" fontId="44" fillId="0" borderId="73" applyNumberFormat="0" applyFill="0" applyAlignment="0" applyProtection="0"/>
    <xf numFmtId="0" fontId="23" fillId="0" borderId="6" applyNumberFormat="0" applyFill="0" applyAlignment="0" applyProtection="0"/>
    <xf numFmtId="0" fontId="44" fillId="0" borderId="73" applyNumberFormat="0" applyFill="0" applyAlignment="0" applyProtection="0"/>
    <xf numFmtId="0" fontId="24" fillId="13" borderId="0" applyNumberFormat="0" applyBorder="0" applyAlignment="0" applyProtection="0"/>
    <xf numFmtId="0" fontId="45" fillId="60" borderId="0" applyNumberFormat="0" applyBorder="0" applyAlignment="0" applyProtection="0"/>
    <xf numFmtId="0" fontId="24" fillId="13" borderId="0" applyNumberFormat="0" applyBorder="0" applyAlignment="0" applyProtection="0"/>
    <xf numFmtId="0" fontId="45" fillId="60" borderId="0" applyNumberFormat="0" applyBorder="0" applyAlignment="0" applyProtection="0"/>
    <xf numFmtId="0" fontId="24" fillId="13" borderId="0" applyNumberFormat="0" applyBorder="0" applyAlignment="0" applyProtection="0"/>
    <xf numFmtId="0" fontId="45" fillId="60" borderId="0" applyNumberFormat="0" applyBorder="0" applyAlignment="0" applyProtection="0"/>
    <xf numFmtId="0" fontId="24" fillId="13" borderId="0" applyNumberFormat="0" applyBorder="0" applyAlignment="0" applyProtection="0"/>
    <xf numFmtId="0" fontId="45" fillId="60" borderId="0" applyNumberFormat="0" applyBorder="0" applyAlignment="0" applyProtection="0"/>
    <xf numFmtId="0" fontId="27" fillId="24" borderId="0">
      <alignment horizont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8" fillId="6" borderId="7" applyNumberFormat="0" applyFont="0" applyAlignment="0" applyProtection="0"/>
    <xf numFmtId="0" fontId="32" fillId="61" borderId="74" applyNumberFormat="0" applyFont="0" applyAlignment="0" applyProtection="0"/>
    <xf numFmtId="0" fontId="8" fillId="6" borderId="7" applyNumberFormat="0" applyFont="0" applyAlignment="0" applyProtection="0"/>
    <xf numFmtId="0" fontId="32" fillId="61" borderId="74" applyNumberFormat="0" applyFont="0" applyAlignment="0" applyProtection="0"/>
    <xf numFmtId="0" fontId="8" fillId="6" borderId="7" applyNumberFormat="0" applyFont="0" applyAlignment="0" applyProtection="0"/>
    <xf numFmtId="0" fontId="32" fillId="61" borderId="74" applyNumberFormat="0" applyFont="0" applyAlignment="0" applyProtection="0"/>
    <xf numFmtId="0" fontId="8" fillId="6" borderId="7" applyNumberFormat="0" applyFont="0" applyAlignment="0" applyProtection="0"/>
    <xf numFmtId="0" fontId="32" fillId="61" borderId="74" applyNumberFormat="0" applyFont="0" applyAlignment="0" applyProtection="0"/>
    <xf numFmtId="0" fontId="26" fillId="10" borderId="8" applyNumberFormat="0" applyAlignment="0" applyProtection="0"/>
    <xf numFmtId="0" fontId="46" fillId="56" borderId="75" applyNumberFormat="0" applyAlignment="0" applyProtection="0"/>
    <xf numFmtId="0" fontId="26" fillId="10" borderId="8" applyNumberFormat="0" applyAlignment="0" applyProtection="0"/>
    <xf numFmtId="0" fontId="46" fillId="56" borderId="75" applyNumberFormat="0" applyAlignment="0" applyProtection="0"/>
    <xf numFmtId="0" fontId="26" fillId="10" borderId="8" applyNumberFormat="0" applyAlignment="0" applyProtection="0"/>
    <xf numFmtId="0" fontId="46" fillId="56" borderId="75" applyNumberFormat="0" applyAlignment="0" applyProtection="0"/>
    <xf numFmtId="0" fontId="26" fillId="10" borderId="8" applyNumberFormat="0" applyAlignment="0" applyProtection="0"/>
    <xf numFmtId="0" fontId="46" fillId="56" borderId="75" applyNumberFormat="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7" fillId="0" borderId="0" applyNumberFormat="0" applyFill="0" applyBorder="0" applyAlignment="0" applyProtection="0"/>
    <xf numFmtId="0" fontId="27" fillId="0" borderId="9" applyNumberFormat="0" applyFill="0" applyAlignment="0" applyProtection="0"/>
    <xf numFmtId="0" fontId="48" fillId="0" borderId="76" applyNumberFormat="0" applyFill="0" applyAlignment="0" applyProtection="0"/>
    <xf numFmtId="0" fontId="27" fillId="0" borderId="9" applyNumberFormat="0" applyFill="0" applyAlignment="0" applyProtection="0"/>
    <xf numFmtId="0" fontId="48" fillId="0" borderId="76" applyNumberFormat="0" applyFill="0" applyAlignment="0" applyProtection="0"/>
    <xf numFmtId="0" fontId="27" fillId="0" borderId="9" applyNumberFormat="0" applyFill="0" applyAlignment="0" applyProtection="0"/>
    <xf numFmtId="0" fontId="48" fillId="0" borderId="76" applyNumberFormat="0" applyFill="0" applyAlignment="0" applyProtection="0"/>
    <xf numFmtId="0" fontId="27" fillId="0" borderId="9" applyNumberFormat="0" applyFill="0" applyAlignment="0" applyProtection="0"/>
    <xf numFmtId="0" fontId="48" fillId="0" borderId="76" applyNumberFormat="0" applyFill="0" applyAlignment="0" applyProtection="0"/>
    <xf numFmtId="0" fontId="28" fillId="0" borderId="0" applyNumberFormat="0" applyFill="0" applyBorder="0" applyAlignment="0" applyProtection="0"/>
    <xf numFmtId="0" fontId="49" fillId="0" borderId="0" applyNumberFormat="0" applyFill="0" applyBorder="0" applyAlignment="0" applyProtection="0"/>
    <xf numFmtId="0" fontId="28" fillId="0" borderId="0" applyNumberFormat="0" applyFill="0" applyBorder="0" applyAlignment="0" applyProtection="0"/>
    <xf numFmtId="0" fontId="49" fillId="0" borderId="0" applyNumberFormat="0" applyFill="0" applyBorder="0" applyAlignment="0" applyProtection="0"/>
    <xf numFmtId="0" fontId="28" fillId="0" borderId="0" applyNumberFormat="0" applyFill="0" applyBorder="0" applyAlignment="0" applyProtection="0"/>
    <xf numFmtId="0" fontId="49" fillId="0" borderId="0" applyNumberFormat="0" applyFill="0" applyBorder="0" applyAlignment="0" applyProtection="0"/>
    <xf numFmtId="0" fontId="28" fillId="0" borderId="0" applyNumberFormat="0" applyFill="0" applyBorder="0" applyAlignment="0" applyProtection="0"/>
    <xf numFmtId="0" fontId="49" fillId="0" borderId="0" applyNumberFormat="0" applyFill="0" applyBorder="0" applyAlignment="0" applyProtection="0"/>
    <xf numFmtId="0" fontId="2" fillId="0" borderId="0"/>
    <xf numFmtId="0" fontId="50" fillId="0" borderId="0"/>
    <xf numFmtId="0" fontId="3" fillId="0" borderId="0"/>
    <xf numFmtId="9"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43" fontId="50" fillId="0" borderId="0" applyFont="0" applyFill="0" applyBorder="0" applyAlignment="0" applyProtection="0"/>
    <xf numFmtId="0" fontId="3" fillId="0" borderId="0"/>
    <xf numFmtId="0" fontId="1" fillId="0" borderId="0"/>
    <xf numFmtId="0" fontId="3" fillId="0" borderId="0"/>
    <xf numFmtId="0" fontId="1" fillId="0" borderId="0"/>
    <xf numFmtId="0" fontId="8" fillId="0" borderId="0"/>
    <xf numFmtId="9" fontId="5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7" fillId="10" borderId="1" applyNumberFormat="0" applyAlignment="0" applyProtection="0"/>
    <xf numFmtId="0" fontId="17" fillId="10" borderId="1" applyNumberFormat="0" applyAlignment="0" applyProtection="0"/>
    <xf numFmtId="0" fontId="17" fillId="10" borderId="1" applyNumberFormat="0" applyAlignment="0" applyProtection="0"/>
    <xf numFmtId="0" fontId="17" fillId="10" borderId="1"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0" fontId="18" fillId="23" borderId="2"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2" fillId="4" borderId="1" applyNumberFormat="0" applyAlignment="0" applyProtection="0"/>
    <xf numFmtId="0" fontId="22" fillId="4" borderId="1" applyNumberFormat="0" applyAlignment="0" applyProtection="0"/>
    <xf numFmtId="0" fontId="22" fillId="4" borderId="1" applyNumberFormat="0" applyAlignment="0" applyProtection="0"/>
    <xf numFmtId="0" fontId="22" fillId="4" borderId="1" applyNumberFormat="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3" fillId="0" borderId="0"/>
    <xf numFmtId="0" fontId="3" fillId="0" borderId="0"/>
    <xf numFmtId="0" fontId="3" fillId="0" borderId="0"/>
    <xf numFmtId="0" fontId="3" fillId="0" borderId="0"/>
    <xf numFmtId="0" fontId="8" fillId="6" borderId="7" applyNumberFormat="0" applyFont="0" applyAlignment="0" applyProtection="0"/>
    <xf numFmtId="0" fontId="8" fillId="6" borderId="7" applyNumberFormat="0" applyFont="0" applyAlignment="0" applyProtection="0"/>
    <xf numFmtId="0" fontId="8" fillId="6" borderId="7" applyNumberFormat="0" applyFont="0" applyAlignment="0" applyProtection="0"/>
    <xf numFmtId="0" fontId="8" fillId="6" borderId="7" applyNumberFormat="0" applyFont="0" applyAlignment="0" applyProtection="0"/>
    <xf numFmtId="0" fontId="26" fillId="10" borderId="8" applyNumberFormat="0" applyAlignment="0" applyProtection="0"/>
    <xf numFmtId="0" fontId="26" fillId="10" borderId="8" applyNumberFormat="0" applyAlignment="0" applyProtection="0"/>
    <xf numFmtId="0" fontId="26" fillId="10" borderId="8" applyNumberFormat="0" applyAlignment="0" applyProtection="0"/>
    <xf numFmtId="0" fontId="26" fillId="10" borderId="8" applyNumberFormat="0" applyAlignment="0" applyProtection="0"/>
    <xf numFmtId="9" fontId="3" fillId="0" borderId="0" applyFont="0" applyFill="0" applyBorder="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 fillId="0" borderId="0"/>
  </cellStyleXfs>
  <cellXfs count="1216">
    <xf numFmtId="0" fontId="0" fillId="0" borderId="0" xfId="0"/>
    <xf numFmtId="0" fontId="4" fillId="0" borderId="0" xfId="1" applyFont="1" applyFill="1" applyBorder="1" applyAlignment="1">
      <alignment horizontal="center"/>
    </xf>
    <xf numFmtId="0" fontId="4" fillId="0" borderId="12" xfId="1" applyFont="1" applyFill="1" applyBorder="1" applyAlignment="1">
      <alignment horizontal="center"/>
    </xf>
    <xf numFmtId="0" fontId="0" fillId="0" borderId="0" xfId="1" applyFont="1" applyFill="1"/>
    <xf numFmtId="0" fontId="0" fillId="0" borderId="0" xfId="1" applyFont="1" applyBorder="1"/>
    <xf numFmtId="0" fontId="0" fillId="0" borderId="0" xfId="1" applyFont="1" applyBorder="1" applyAlignment="1">
      <alignment horizontal="center" vertical="center"/>
    </xf>
    <xf numFmtId="0" fontId="0" fillId="0" borderId="0" xfId="1" applyFont="1" applyFill="1" applyBorder="1"/>
    <xf numFmtId="3" fontId="0" fillId="0" borderId="0" xfId="0" applyNumberFormat="1"/>
    <xf numFmtId="0" fontId="0" fillId="0" borderId="0" xfId="0" applyBorder="1"/>
    <xf numFmtId="0" fontId="0" fillId="0" borderId="10" xfId="0" applyBorder="1"/>
    <xf numFmtId="0" fontId="0" fillId="0" borderId="0" xfId="0" applyFill="1" applyBorder="1"/>
    <xf numFmtId="9" fontId="0" fillId="0" borderId="0" xfId="0" applyNumberFormat="1"/>
    <xf numFmtId="0" fontId="0" fillId="0" borderId="0" xfId="1" applyFont="1" applyFill="1" applyBorder="1" applyAlignment="1">
      <alignment horizontal="center" vertical="center"/>
    </xf>
    <xf numFmtId="9" fontId="4" fillId="0" borderId="0" xfId="1" applyNumberFormat="1" applyFont="1" applyFill="1" applyBorder="1" applyAlignment="1">
      <alignment horizontal="center"/>
    </xf>
    <xf numFmtId="1" fontId="4" fillId="0" borderId="0" xfId="1" applyNumberFormat="1" applyFont="1" applyFill="1" applyBorder="1" applyAlignment="1">
      <alignment horizontal="center"/>
    </xf>
    <xf numFmtId="1" fontId="0" fillId="0" borderId="0" xfId="0" applyNumberFormat="1"/>
    <xf numFmtId="3" fontId="4" fillId="0" borderId="0" xfId="1" applyNumberFormat="1" applyFont="1" applyFill="1" applyBorder="1" applyAlignment="1">
      <alignment horizontal="center"/>
    </xf>
    <xf numFmtId="3" fontId="0" fillId="0" borderId="0" xfId="0" applyNumberFormat="1" applyBorder="1"/>
    <xf numFmtId="164" fontId="0" fillId="0" borderId="0" xfId="335" applyNumberFormat="1" applyFont="1"/>
    <xf numFmtId="0" fontId="9" fillId="0" borderId="0" xfId="0" applyFont="1" applyFill="1" applyBorder="1" applyAlignment="1">
      <alignment horizontal="center"/>
    </xf>
    <xf numFmtId="168" fontId="0" fillId="0" borderId="0" xfId="0" applyNumberFormat="1"/>
    <xf numFmtId="168" fontId="0" fillId="0" borderId="0" xfId="802" applyNumberFormat="1" applyFont="1"/>
    <xf numFmtId="0" fontId="0" fillId="0" borderId="0" xfId="22" applyFont="1" applyAlignment="1">
      <alignment wrapText="1"/>
    </xf>
    <xf numFmtId="3" fontId="7" fillId="0" borderId="0" xfId="0" applyNumberFormat="1" applyFont="1"/>
    <xf numFmtId="9" fontId="0" fillId="0" borderId="0" xfId="802" applyFont="1"/>
    <xf numFmtId="166" fontId="0" fillId="0" borderId="0" xfId="0" applyNumberFormat="1"/>
    <xf numFmtId="9" fontId="7" fillId="0" borderId="0" xfId="0" applyNumberFormat="1" applyFont="1"/>
    <xf numFmtId="0" fontId="0" fillId="0" borderId="0" xfId="22" applyFont="1" applyBorder="1" applyAlignment="1">
      <alignment horizontal="left" wrapText="1"/>
    </xf>
    <xf numFmtId="0" fontId="0" fillId="0" borderId="0" xfId="22" applyFont="1" applyAlignment="1">
      <alignment horizontal="left" wrapText="1"/>
    </xf>
    <xf numFmtId="0" fontId="3" fillId="0" borderId="0" xfId="785"/>
    <xf numFmtId="10" fontId="3" fillId="0" borderId="0" xfId="785" applyNumberFormat="1" applyAlignment="1">
      <alignment horizontal="center"/>
    </xf>
    <xf numFmtId="10" fontId="3" fillId="0" borderId="0" xfId="785" applyNumberFormat="1"/>
    <xf numFmtId="10" fontId="4" fillId="0" borderId="0" xfId="785" applyNumberFormat="1" applyFont="1"/>
    <xf numFmtId="169" fontId="3" fillId="0" borderId="0" xfId="785" applyNumberFormat="1"/>
    <xf numFmtId="0" fontId="3" fillId="0" borderId="0" xfId="785" applyAlignment="1">
      <alignment horizontal="center"/>
    </xf>
    <xf numFmtId="2" fontId="3" fillId="0" borderId="0" xfId="785" applyNumberFormat="1" applyBorder="1"/>
    <xf numFmtId="0" fontId="3" fillId="0" borderId="0" xfId="785" applyBorder="1"/>
    <xf numFmtId="169" fontId="3" fillId="0" borderId="0" xfId="1" applyNumberFormat="1" applyBorder="1"/>
    <xf numFmtId="10" fontId="3" fillId="0" borderId="0" xfId="1" applyNumberFormat="1" applyBorder="1" applyAlignment="1">
      <alignment horizontal="center"/>
    </xf>
    <xf numFmtId="2" fontId="3" fillId="0" borderId="11" xfId="1" applyNumberFormat="1" applyBorder="1" applyAlignment="1">
      <alignment horizontal="right"/>
    </xf>
    <xf numFmtId="0" fontId="3" fillId="0" borderId="11" xfId="1" applyBorder="1"/>
    <xf numFmtId="0" fontId="3" fillId="0" borderId="11" xfId="1" applyFill="1" applyBorder="1"/>
    <xf numFmtId="14" fontId="3" fillId="0" borderId="0" xfId="1" applyNumberFormat="1" applyBorder="1" applyAlignment="1">
      <alignment horizontal="center"/>
    </xf>
    <xf numFmtId="2" fontId="3" fillId="0" borderId="11" xfId="1" applyNumberFormat="1" applyBorder="1"/>
    <xf numFmtId="0" fontId="29" fillId="27" borderId="24" xfId="785" applyFont="1" applyFill="1" applyBorder="1"/>
    <xf numFmtId="10" fontId="29" fillId="27" borderId="25" xfId="785" applyNumberFormat="1" applyFont="1" applyFill="1" applyBorder="1"/>
    <xf numFmtId="0" fontId="4" fillId="0" borderId="26" xfId="785" applyFont="1" applyBorder="1" applyAlignment="1">
      <alignment horizontal="center"/>
    </xf>
    <xf numFmtId="0" fontId="4" fillId="0" borderId="27" xfId="785" applyFont="1" applyBorder="1" applyAlignment="1">
      <alignment horizontal="center"/>
    </xf>
    <xf numFmtId="0" fontId="4" fillId="0" borderId="28" xfId="785" applyFont="1" applyBorder="1" applyAlignment="1">
      <alignment horizontal="center"/>
    </xf>
    <xf numFmtId="2" fontId="3" fillId="0" borderId="29" xfId="785" applyNumberFormat="1" applyBorder="1"/>
    <xf numFmtId="2" fontId="3" fillId="0" borderId="0" xfId="785" applyNumberFormat="1"/>
    <xf numFmtId="2" fontId="3" fillId="28" borderId="30" xfId="785" applyNumberFormat="1" applyFill="1" applyBorder="1"/>
    <xf numFmtId="2" fontId="3" fillId="0" borderId="31" xfId="785" applyNumberFormat="1" applyBorder="1"/>
    <xf numFmtId="2" fontId="3" fillId="28" borderId="32" xfId="785" applyNumberFormat="1" applyFill="1" applyBorder="1"/>
    <xf numFmtId="2" fontId="3" fillId="0" borderId="33" xfId="785" applyNumberFormat="1" applyBorder="1"/>
    <xf numFmtId="2" fontId="29" fillId="27" borderId="26" xfId="785" applyNumberFormat="1" applyFont="1" applyFill="1" applyBorder="1"/>
    <xf numFmtId="2" fontId="29" fillId="27" borderId="28" xfId="785" applyNumberFormat="1" applyFont="1" applyFill="1" applyBorder="1"/>
    <xf numFmtId="2" fontId="3" fillId="29" borderId="34" xfId="785" applyNumberFormat="1" applyFill="1" applyBorder="1"/>
    <xf numFmtId="2" fontId="3" fillId="29" borderId="35" xfId="785" applyNumberFormat="1" applyFill="1" applyBorder="1"/>
    <xf numFmtId="2" fontId="29" fillId="27" borderId="24" xfId="785" applyNumberFormat="1" applyFont="1" applyFill="1" applyBorder="1"/>
    <xf numFmtId="2" fontId="29" fillId="27" borderId="25" xfId="785" applyNumberFormat="1" applyFont="1" applyFill="1" applyBorder="1"/>
    <xf numFmtId="2" fontId="3" fillId="28" borderId="36" xfId="785" applyNumberFormat="1" applyFill="1" applyBorder="1"/>
    <xf numFmtId="2" fontId="3" fillId="28" borderId="37" xfId="785" applyNumberFormat="1" applyFill="1" applyBorder="1"/>
    <xf numFmtId="2" fontId="3" fillId="0" borderId="38" xfId="785" applyNumberFormat="1" applyBorder="1"/>
    <xf numFmtId="2" fontId="3" fillId="28" borderId="39" xfId="785" applyNumberFormat="1" applyFill="1" applyBorder="1"/>
    <xf numFmtId="0" fontId="3" fillId="0" borderId="0" xfId="1" applyBorder="1"/>
    <xf numFmtId="169" fontId="4" fillId="0" borderId="0" xfId="1" applyNumberFormat="1" applyFont="1" applyBorder="1"/>
    <xf numFmtId="2" fontId="3" fillId="0" borderId="0" xfId="1" applyNumberFormat="1" applyBorder="1" applyAlignment="1">
      <alignment horizontal="center"/>
    </xf>
    <xf numFmtId="4" fontId="4" fillId="0" borderId="0" xfId="1" applyNumberFormat="1" applyFont="1" applyBorder="1"/>
    <xf numFmtId="0" fontId="3" fillId="0" borderId="11" xfId="1" applyFont="1" applyBorder="1"/>
    <xf numFmtId="0" fontId="3" fillId="0" borderId="11" xfId="1" applyFont="1" applyFill="1" applyBorder="1"/>
    <xf numFmtId="169" fontId="3" fillId="0" borderId="0" xfId="785" applyNumberFormat="1" applyFont="1" applyBorder="1"/>
    <xf numFmtId="9" fontId="0" fillId="0" borderId="0" xfId="0" applyNumberFormat="1" applyBorder="1"/>
    <xf numFmtId="2" fontId="3" fillId="0" borderId="0" xfId="785" applyNumberFormat="1" applyFont="1"/>
    <xf numFmtId="2" fontId="3" fillId="62" borderId="36" xfId="785" applyNumberFormat="1" applyFill="1" applyBorder="1"/>
    <xf numFmtId="2" fontId="3" fillId="62" borderId="40" xfId="785" applyNumberFormat="1" applyFill="1" applyBorder="1"/>
    <xf numFmtId="2" fontId="3" fillId="62" borderId="39" xfId="785" applyNumberFormat="1" applyFill="1" applyBorder="1"/>
    <xf numFmtId="2" fontId="3" fillId="62" borderId="41" xfId="785" applyNumberFormat="1" applyFill="1" applyBorder="1"/>
    <xf numFmtId="2" fontId="3" fillId="62" borderId="42" xfId="785" applyNumberFormat="1" applyFill="1" applyBorder="1"/>
    <xf numFmtId="0" fontId="3" fillId="0" borderId="0" xfId="1" applyBorder="1" applyAlignment="1">
      <alignment horizontal="center"/>
    </xf>
    <xf numFmtId="169" fontId="3" fillId="0" borderId="44" xfId="1" applyNumberFormat="1" applyBorder="1"/>
    <xf numFmtId="169" fontId="3" fillId="0" borderId="45" xfId="1" applyNumberFormat="1" applyBorder="1"/>
    <xf numFmtId="2" fontId="3" fillId="0" borderId="45" xfId="1" applyNumberFormat="1" applyBorder="1" applyAlignment="1">
      <alignment horizontal="center"/>
    </xf>
    <xf numFmtId="2" fontId="3" fillId="0" borderId="46" xfId="1" applyNumberFormat="1" applyBorder="1" applyAlignment="1">
      <alignment horizontal="right"/>
    </xf>
    <xf numFmtId="0" fontId="3" fillId="0" borderId="44" xfId="1" applyBorder="1"/>
    <xf numFmtId="14" fontId="3" fillId="0" borderId="45" xfId="1" applyNumberFormat="1" applyBorder="1" applyAlignment="1">
      <alignment horizontal="center"/>
    </xf>
    <xf numFmtId="0" fontId="3" fillId="0" borderId="46" xfId="1" applyBorder="1"/>
    <xf numFmtId="0" fontId="4" fillId="0" borderId="48" xfId="1" applyFont="1" applyBorder="1"/>
    <xf numFmtId="0" fontId="4" fillId="0" borderId="49" xfId="1" applyFont="1" applyBorder="1"/>
    <xf numFmtId="169" fontId="3" fillId="0" borderId="49" xfId="1" applyNumberFormat="1" applyBorder="1"/>
    <xf numFmtId="10" fontId="3" fillId="0" borderId="49" xfId="1" applyNumberFormat="1" applyBorder="1" applyAlignment="1">
      <alignment horizontal="center"/>
    </xf>
    <xf numFmtId="2" fontId="3" fillId="0" borderId="49" xfId="1" applyNumberFormat="1" applyBorder="1" applyAlignment="1">
      <alignment horizontal="center"/>
    </xf>
    <xf numFmtId="2" fontId="3" fillId="0" borderId="50" xfId="1" applyNumberFormat="1" applyBorder="1"/>
    <xf numFmtId="0" fontId="3" fillId="0" borderId="48" xfId="1" applyBorder="1"/>
    <xf numFmtId="0" fontId="3" fillId="0" borderId="49" xfId="1" applyBorder="1" applyAlignment="1">
      <alignment horizontal="center"/>
    </xf>
    <xf numFmtId="0" fontId="3" fillId="0" borderId="50" xfId="1" applyBorder="1"/>
    <xf numFmtId="0" fontId="3" fillId="27" borderId="52" xfId="1" applyFont="1" applyFill="1" applyBorder="1" applyAlignment="1">
      <alignment horizontal="center" wrapText="1"/>
    </xf>
    <xf numFmtId="169" fontId="3" fillId="27" borderId="52" xfId="1" applyNumberFormat="1" applyFont="1" applyFill="1" applyBorder="1" applyAlignment="1">
      <alignment horizontal="center" wrapText="1"/>
    </xf>
    <xf numFmtId="0" fontId="3" fillId="0" borderId="53" xfId="1" applyBorder="1"/>
    <xf numFmtId="0" fontId="3" fillId="0" borderId="53" xfId="1" applyFont="1" applyBorder="1"/>
    <xf numFmtId="0" fontId="3" fillId="0" borderId="53" xfId="1" applyFill="1" applyBorder="1"/>
    <xf numFmtId="0" fontId="4" fillId="0" borderId="54" xfId="1" applyFont="1" applyBorder="1"/>
    <xf numFmtId="0" fontId="3" fillId="0" borderId="55" xfId="1" applyFill="1" applyBorder="1"/>
    <xf numFmtId="169" fontId="3" fillId="27" borderId="56" xfId="1" applyNumberFormat="1" applyFont="1" applyFill="1" applyBorder="1" applyAlignment="1">
      <alignment horizontal="center" wrapText="1"/>
    </xf>
    <xf numFmtId="169" fontId="3" fillId="27" borderId="57" xfId="1" applyNumberFormat="1" applyFont="1" applyFill="1" applyBorder="1" applyAlignment="1">
      <alignment horizontal="center" wrapText="1"/>
    </xf>
    <xf numFmtId="169" fontId="4" fillId="0" borderId="11" xfId="1" applyNumberFormat="1" applyFont="1" applyBorder="1"/>
    <xf numFmtId="169" fontId="3" fillId="0" borderId="11" xfId="1" applyNumberFormat="1" applyBorder="1"/>
    <xf numFmtId="4" fontId="4" fillId="0" borderId="11" xfId="1" applyNumberFormat="1" applyFont="1" applyBorder="1"/>
    <xf numFmtId="169" fontId="3" fillId="0" borderId="50" xfId="1" applyNumberFormat="1" applyBorder="1"/>
    <xf numFmtId="169" fontId="3" fillId="0" borderId="46" xfId="1" applyNumberFormat="1" applyBorder="1"/>
    <xf numFmtId="0" fontId="3" fillId="27" borderId="56" xfId="1" applyFont="1" applyFill="1" applyBorder="1" applyAlignment="1">
      <alignment horizontal="center" wrapText="1"/>
    </xf>
    <xf numFmtId="0" fontId="3" fillId="27" borderId="57" xfId="1" applyFont="1" applyFill="1" applyBorder="1" applyAlignment="1">
      <alignment horizontal="center" wrapText="1"/>
    </xf>
    <xf numFmtId="0" fontId="4" fillId="0" borderId="50" xfId="1" applyFont="1" applyBorder="1"/>
    <xf numFmtId="0" fontId="3" fillId="63" borderId="58" xfId="1" applyFill="1" applyBorder="1" applyAlignment="1">
      <alignment horizontal="center"/>
    </xf>
    <xf numFmtId="10" fontId="3" fillId="64" borderId="52" xfId="1" applyNumberFormat="1" applyFont="1" applyFill="1" applyBorder="1" applyAlignment="1">
      <alignment horizontal="center" wrapText="1"/>
    </xf>
    <xf numFmtId="0" fontId="3" fillId="65" borderId="56" xfId="1" applyFill="1" applyBorder="1" applyAlignment="1">
      <alignment horizontal="center"/>
    </xf>
    <xf numFmtId="0" fontId="3" fillId="65" borderId="52" xfId="1" applyFill="1" applyBorder="1" applyAlignment="1">
      <alignment horizontal="center"/>
    </xf>
    <xf numFmtId="0" fontId="3" fillId="65" borderId="57" xfId="1" applyFill="1" applyBorder="1" applyAlignment="1">
      <alignment horizontal="center"/>
    </xf>
    <xf numFmtId="2" fontId="3" fillId="0" borderId="0" xfId="1" applyNumberFormat="1" applyBorder="1" applyAlignment="1">
      <alignment horizontal="right"/>
    </xf>
    <xf numFmtId="2" fontId="3" fillId="0" borderId="0" xfId="1" applyNumberFormat="1" applyBorder="1"/>
    <xf numFmtId="2" fontId="3" fillId="0" borderId="49" xfId="1" applyNumberFormat="1" applyBorder="1"/>
    <xf numFmtId="2" fontId="3" fillId="0" borderId="45" xfId="1" applyNumberFormat="1" applyBorder="1" applyAlignment="1">
      <alignment horizontal="right"/>
    </xf>
    <xf numFmtId="169" fontId="3" fillId="0" borderId="0" xfId="1" applyNumberFormat="1" applyBorder="1" applyAlignment="1">
      <alignment horizontal="right"/>
    </xf>
    <xf numFmtId="169" fontId="3" fillId="0" borderId="45" xfId="1" applyNumberFormat="1" applyBorder="1" applyAlignment="1">
      <alignment horizontal="right"/>
    </xf>
    <xf numFmtId="10" fontId="3" fillId="64" borderId="56" xfId="1" applyNumberFormat="1" applyFont="1" applyFill="1" applyBorder="1" applyAlignment="1">
      <alignment horizontal="center" wrapText="1"/>
    </xf>
    <xf numFmtId="10" fontId="3" fillId="64" borderId="57" xfId="1" applyNumberFormat="1" applyFont="1" applyFill="1" applyBorder="1" applyAlignment="1">
      <alignment horizontal="center" wrapText="1"/>
    </xf>
    <xf numFmtId="169" fontId="3" fillId="0" borderId="11" xfId="1" applyNumberFormat="1" applyBorder="1" applyAlignment="1">
      <alignment horizontal="right"/>
    </xf>
    <xf numFmtId="169" fontId="3" fillId="0" borderId="46" xfId="1" applyNumberFormat="1" applyBorder="1" applyAlignment="1">
      <alignment horizontal="right"/>
    </xf>
    <xf numFmtId="2" fontId="3" fillId="0" borderId="48" xfId="1" applyNumberFormat="1" applyBorder="1"/>
    <xf numFmtId="2" fontId="3" fillId="0" borderId="44" xfId="1" applyNumberFormat="1" applyBorder="1" applyAlignment="1">
      <alignment horizontal="right"/>
    </xf>
    <xf numFmtId="2" fontId="3" fillId="66" borderId="56" xfId="1" applyNumberFormat="1" applyFont="1" applyFill="1" applyBorder="1" applyAlignment="1">
      <alignment horizontal="center" wrapText="1"/>
    </xf>
    <xf numFmtId="2" fontId="3" fillId="66" borderId="57" xfId="1" applyNumberFormat="1" applyFont="1" applyFill="1" applyBorder="1" applyAlignment="1">
      <alignment horizontal="center" wrapText="1"/>
    </xf>
    <xf numFmtId="4" fontId="3" fillId="64" borderId="52" xfId="1" applyNumberFormat="1" applyFont="1" applyFill="1" applyBorder="1" applyAlignment="1">
      <alignment horizontal="center" wrapText="1"/>
    </xf>
    <xf numFmtId="4" fontId="3" fillId="0" borderId="0" xfId="1" applyNumberFormat="1" applyBorder="1" applyAlignment="1">
      <alignment horizontal="right"/>
    </xf>
    <xf numFmtId="4" fontId="3" fillId="0" borderId="0" xfId="1" applyNumberFormat="1" applyBorder="1"/>
    <xf numFmtId="4" fontId="3" fillId="0" borderId="49" xfId="1" applyNumberFormat="1" applyBorder="1"/>
    <xf numFmtId="4" fontId="3" fillId="0" borderId="0" xfId="785" applyNumberFormat="1" applyBorder="1"/>
    <xf numFmtId="4" fontId="3" fillId="0" borderId="46" xfId="1" applyNumberFormat="1" applyBorder="1" applyAlignment="1">
      <alignment horizontal="right"/>
    </xf>
    <xf numFmtId="0" fontId="3" fillId="62" borderId="39" xfId="785" applyFill="1" applyBorder="1"/>
    <xf numFmtId="2" fontId="3" fillId="62" borderId="19" xfId="785" applyNumberFormat="1" applyFill="1" applyBorder="1" applyAlignment="1">
      <alignment horizontal="center"/>
    </xf>
    <xf numFmtId="0" fontId="3" fillId="62" borderId="40" xfId="785" applyFill="1" applyBorder="1"/>
    <xf numFmtId="2" fontId="3" fillId="62" borderId="39" xfId="785" applyNumberFormat="1" applyFont="1" applyFill="1" applyBorder="1"/>
    <xf numFmtId="0" fontId="3" fillId="62" borderId="19" xfId="785" quotePrefix="1" applyFill="1" applyBorder="1" applyAlignment="1">
      <alignment horizontal="center"/>
    </xf>
    <xf numFmtId="2" fontId="3" fillId="62" borderId="65" xfId="785" applyNumberFormat="1" applyFill="1" applyBorder="1"/>
    <xf numFmtId="2" fontId="3" fillId="62" borderId="66" xfId="785" applyNumberFormat="1" applyFill="1" applyBorder="1" applyAlignment="1">
      <alignment horizontal="center"/>
    </xf>
    <xf numFmtId="0" fontId="3" fillId="62" borderId="67" xfId="785" applyFill="1" applyBorder="1"/>
    <xf numFmtId="0" fontId="2" fillId="0" borderId="0" xfId="826"/>
    <xf numFmtId="3" fontId="0" fillId="0" borderId="10" xfId="0" applyNumberFormat="1" applyBorder="1"/>
    <xf numFmtId="0" fontId="0" fillId="0" borderId="0" xfId="22" applyFont="1" applyBorder="1" applyAlignment="1">
      <alignment wrapText="1"/>
    </xf>
    <xf numFmtId="0" fontId="51" fillId="0" borderId="0" xfId="0" applyFont="1" applyAlignment="1">
      <alignment vertical="top"/>
    </xf>
    <xf numFmtId="0" fontId="0" fillId="0" borderId="0" xfId="0" applyAlignment="1">
      <alignment vertical="top"/>
    </xf>
    <xf numFmtId="0" fontId="0" fillId="0" borderId="77" xfId="0" applyBorder="1" applyAlignment="1">
      <alignment vertical="top"/>
    </xf>
    <xf numFmtId="0" fontId="0" fillId="0" borderId="0" xfId="1" applyFont="1" applyAlignment="1">
      <alignment horizontal="left" wrapText="1"/>
    </xf>
    <xf numFmtId="0" fontId="0" fillId="0" borderId="0" xfId="1" applyFont="1" applyAlignment="1">
      <alignment horizontal="left"/>
    </xf>
    <xf numFmtId="3" fontId="3" fillId="62" borderId="0" xfId="1" applyNumberFormat="1" applyFont="1" applyFill="1" applyBorder="1"/>
    <xf numFmtId="0" fontId="0" fillId="0" borderId="0" xfId="0" applyBorder="1" applyAlignment="1">
      <alignment horizontal="center"/>
    </xf>
    <xf numFmtId="0" fontId="3" fillId="0" borderId="0" xfId="0" applyFont="1"/>
    <xf numFmtId="9" fontId="52" fillId="26" borderId="87" xfId="785" applyNumberFormat="1" applyFont="1" applyFill="1" applyBorder="1" applyAlignment="1">
      <alignment horizontal="center"/>
    </xf>
    <xf numFmtId="0" fontId="31" fillId="26" borderId="88" xfId="785" applyFont="1" applyFill="1" applyBorder="1" applyAlignment="1">
      <alignment horizontal="center"/>
    </xf>
    <xf numFmtId="0" fontId="31" fillId="26" borderId="88" xfId="785" applyFont="1" applyFill="1" applyBorder="1"/>
    <xf numFmtId="0" fontId="7" fillId="26" borderId="89" xfId="785" applyFont="1" applyFill="1" applyBorder="1" applyAlignment="1"/>
    <xf numFmtId="9" fontId="4" fillId="26" borderId="32" xfId="785" applyNumberFormat="1" applyFont="1" applyFill="1" applyBorder="1" applyAlignment="1">
      <alignment horizontal="center"/>
    </xf>
    <xf numFmtId="0" fontId="4" fillId="26" borderId="21" xfId="785" applyFont="1" applyFill="1" applyBorder="1" applyAlignment="1">
      <alignment horizontal="center"/>
    </xf>
    <xf numFmtId="3" fontId="4" fillId="26" borderId="21" xfId="785" applyNumberFormat="1" applyFont="1" applyFill="1" applyBorder="1" applyAlignment="1">
      <alignment horizontal="center"/>
    </xf>
    <xf numFmtId="10" fontId="4" fillId="26" borderId="21" xfId="785" applyNumberFormat="1" applyFont="1" applyFill="1" applyBorder="1" applyAlignment="1">
      <alignment horizontal="center"/>
    </xf>
    <xf numFmtId="0" fontId="4" fillId="26" borderId="33" xfId="785" applyFont="1" applyFill="1" applyBorder="1" applyAlignment="1"/>
    <xf numFmtId="1" fontId="7" fillId="26" borderId="39" xfId="802" applyNumberFormat="1" applyFont="1" applyFill="1" applyBorder="1" applyAlignment="1">
      <alignment horizontal="center"/>
    </xf>
    <xf numFmtId="0" fontId="7" fillId="26" borderId="19" xfId="785" applyFont="1" applyFill="1" applyBorder="1" applyAlignment="1">
      <alignment horizontal="center"/>
    </xf>
    <xf numFmtId="3" fontId="7" fillId="26" borderId="19" xfId="785" applyNumberFormat="1" applyFont="1" applyFill="1" applyBorder="1" applyAlignment="1">
      <alignment horizontal="center"/>
    </xf>
    <xf numFmtId="10" fontId="7" fillId="62" borderId="40" xfId="785" applyNumberFormat="1" applyFont="1" applyFill="1" applyBorder="1" applyAlignment="1">
      <alignment horizontal="center"/>
    </xf>
    <xf numFmtId="10" fontId="3" fillId="62" borderId="40" xfId="785" applyNumberFormat="1" applyFill="1" applyBorder="1" applyAlignment="1">
      <alignment horizontal="center"/>
    </xf>
    <xf numFmtId="0" fontId="7" fillId="26" borderId="39" xfId="785" applyFont="1" applyFill="1" applyBorder="1" applyAlignment="1">
      <alignment horizontal="center"/>
    </xf>
    <xf numFmtId="0" fontId="3" fillId="0" borderId="65" xfId="785" applyBorder="1"/>
    <xf numFmtId="0" fontId="3" fillId="0" borderId="91" xfId="785" applyBorder="1" applyAlignment="1">
      <alignment horizontal="center"/>
    </xf>
    <xf numFmtId="0" fontId="3" fillId="0" borderId="91" xfId="785" applyBorder="1"/>
    <xf numFmtId="3" fontId="3" fillId="0" borderId="91" xfId="785" applyNumberFormat="1" applyBorder="1" applyAlignment="1">
      <alignment horizontal="center"/>
    </xf>
    <xf numFmtId="10" fontId="3" fillId="62" borderId="90" xfId="785" applyNumberFormat="1" applyFill="1" applyBorder="1" applyAlignment="1">
      <alignment horizontal="center"/>
    </xf>
    <xf numFmtId="0" fontId="3" fillId="0" borderId="92" xfId="0" applyFont="1" applyBorder="1" applyAlignment="1">
      <alignment vertical="top" wrapText="1"/>
    </xf>
    <xf numFmtId="0" fontId="3" fillId="0" borderId="94" xfId="0" applyFont="1" applyBorder="1" applyAlignment="1">
      <alignment vertical="top" wrapText="1"/>
    </xf>
    <xf numFmtId="0" fontId="3" fillId="0" borderId="83" xfId="0" applyFont="1" applyBorder="1" applyAlignment="1">
      <alignment vertical="top" wrapText="1"/>
    </xf>
    <xf numFmtId="0" fontId="0" fillId="0" borderId="0" xfId="0" applyAlignment="1">
      <alignment vertical="center"/>
    </xf>
    <xf numFmtId="0" fontId="0" fillId="0" borderId="13" xfId="0" applyFill="1" applyBorder="1"/>
    <xf numFmtId="9" fontId="0" fillId="0" borderId="10" xfId="0" applyNumberFormat="1" applyBorder="1"/>
    <xf numFmtId="0" fontId="0" fillId="0" borderId="0" xfId="0" applyBorder="1" applyAlignment="1"/>
    <xf numFmtId="3" fontId="0" fillId="0" borderId="13" xfId="0" applyNumberFormat="1" applyFill="1" applyBorder="1"/>
    <xf numFmtId="0" fontId="0" fillId="0" borderId="0" xfId="0" applyFill="1"/>
    <xf numFmtId="0" fontId="0" fillId="62" borderId="0" xfId="1" applyFont="1" applyFill="1" applyBorder="1" applyAlignment="1">
      <alignment horizontal="left" vertical="center"/>
    </xf>
    <xf numFmtId="0" fontId="0" fillId="62" borderId="0" xfId="1" applyFont="1" applyFill="1" applyBorder="1" applyAlignment="1">
      <alignment horizontal="center" vertical="center"/>
    </xf>
    <xf numFmtId="0" fontId="0" fillId="62" borderId="11" xfId="1" applyFont="1" applyFill="1" applyBorder="1" applyAlignment="1">
      <alignment horizontal="center" vertical="center"/>
    </xf>
    <xf numFmtId="3" fontId="0" fillId="62" borderId="0" xfId="1" applyNumberFormat="1" applyFont="1" applyFill="1" applyBorder="1"/>
    <xf numFmtId="3" fontId="9" fillId="62" borderId="0" xfId="1" applyNumberFormat="1" applyFont="1" applyFill="1" applyBorder="1"/>
    <xf numFmtId="3" fontId="4" fillId="62" borderId="0" xfId="1" applyNumberFormat="1" applyFont="1" applyFill="1" applyBorder="1"/>
    <xf numFmtId="0" fontId="9" fillId="62" borderId="0" xfId="1" applyFont="1" applyFill="1" applyBorder="1"/>
    <xf numFmtId="0" fontId="0" fillId="62" borderId="0" xfId="1" applyFont="1" applyFill="1" applyBorder="1"/>
    <xf numFmtId="9" fontId="0" fillId="62" borderId="0" xfId="1" applyNumberFormat="1" applyFont="1" applyFill="1" applyBorder="1"/>
    <xf numFmtId="9" fontId="7" fillId="62" borderId="0" xfId="1" applyNumberFormat="1" applyFont="1" applyFill="1" applyBorder="1"/>
    <xf numFmtId="1" fontId="0" fillId="62" borderId="0" xfId="1" applyNumberFormat="1" applyFont="1" applyFill="1" applyBorder="1"/>
    <xf numFmtId="0" fontId="0" fillId="62" borderId="11" xfId="1" applyFont="1" applyFill="1" applyBorder="1"/>
    <xf numFmtId="9" fontId="3" fillId="62" borderId="0" xfId="1" applyNumberFormat="1" applyFont="1" applyFill="1" applyBorder="1"/>
    <xf numFmtId="9" fontId="3" fillId="62" borderId="11" xfId="1" applyNumberFormat="1" applyFont="1" applyFill="1" applyBorder="1"/>
    <xf numFmtId="3" fontId="3" fillId="62" borderId="80" xfId="1" applyNumberFormat="1" applyFont="1" applyFill="1" applyBorder="1"/>
    <xf numFmtId="3" fontId="7" fillId="62" borderId="80" xfId="1" applyNumberFormat="1" applyFont="1" applyFill="1" applyBorder="1"/>
    <xf numFmtId="3" fontId="7" fillId="62" borderId="0" xfId="1" applyNumberFormat="1" applyFont="1" applyFill="1" applyBorder="1"/>
    <xf numFmtId="3" fontId="7" fillId="62" borderId="11" xfId="1" applyNumberFormat="1" applyFont="1" applyFill="1" applyBorder="1"/>
    <xf numFmtId="0" fontId="0" fillId="72" borderId="0" xfId="1" applyFont="1" applyFill="1" applyBorder="1" applyAlignment="1">
      <alignment horizontal="left" vertical="center"/>
    </xf>
    <xf numFmtId="0" fontId="0" fillId="72" borderId="0" xfId="1" applyFont="1" applyFill="1" applyBorder="1" applyAlignment="1">
      <alignment horizontal="center" vertical="center"/>
    </xf>
    <xf numFmtId="0" fontId="0" fillId="72" borderId="11" xfId="1" applyFont="1" applyFill="1" applyBorder="1" applyAlignment="1">
      <alignment horizontal="center" vertical="center"/>
    </xf>
    <xf numFmtId="3" fontId="0" fillId="72" borderId="0" xfId="1" applyNumberFormat="1" applyFont="1" applyFill="1" applyBorder="1"/>
    <xf numFmtId="3" fontId="9" fillId="72" borderId="0" xfId="1" applyNumberFormat="1" applyFont="1" applyFill="1" applyBorder="1"/>
    <xf numFmtId="3" fontId="4" fillId="72" borderId="0" xfId="1" applyNumberFormat="1" applyFont="1" applyFill="1" applyBorder="1"/>
    <xf numFmtId="0" fontId="9" fillId="72" borderId="0" xfId="1" applyFont="1" applyFill="1" applyBorder="1"/>
    <xf numFmtId="0" fontId="0" fillId="72" borderId="0" xfId="1" applyFont="1" applyFill="1" applyBorder="1"/>
    <xf numFmtId="9" fontId="0" fillId="72" borderId="0" xfId="1" applyNumberFormat="1" applyFont="1" applyFill="1" applyBorder="1"/>
    <xf numFmtId="9" fontId="7" fillId="72" borderId="0" xfId="1" applyNumberFormat="1" applyFont="1" applyFill="1" applyBorder="1"/>
    <xf numFmtId="1" fontId="0" fillId="72" borderId="0" xfId="1" applyNumberFormat="1" applyFont="1" applyFill="1" applyBorder="1"/>
    <xf numFmtId="0" fontId="0" fillId="72" borderId="11" xfId="1" applyFont="1" applyFill="1" applyBorder="1"/>
    <xf numFmtId="9" fontId="3" fillId="72" borderId="0" xfId="1" applyNumberFormat="1" applyFont="1" applyFill="1" applyBorder="1"/>
    <xf numFmtId="9" fontId="3" fillId="72" borderId="11" xfId="1" applyNumberFormat="1" applyFont="1" applyFill="1" applyBorder="1"/>
    <xf numFmtId="3" fontId="3" fillId="72" borderId="80" xfId="1" applyNumberFormat="1" applyFont="1" applyFill="1" applyBorder="1"/>
    <xf numFmtId="3" fontId="3" fillId="72" borderId="0" xfId="1" applyNumberFormat="1" applyFont="1" applyFill="1" applyBorder="1"/>
    <xf numFmtId="3" fontId="7" fillId="72" borderId="80" xfId="1" applyNumberFormat="1" applyFont="1" applyFill="1" applyBorder="1"/>
    <xf numFmtId="3" fontId="7" fillId="72" borderId="0" xfId="1" applyNumberFormat="1" applyFont="1" applyFill="1" applyBorder="1"/>
    <xf numFmtId="3" fontId="7" fillId="72" borderId="11" xfId="1" applyNumberFormat="1" applyFont="1" applyFill="1" applyBorder="1"/>
    <xf numFmtId="0" fontId="0" fillId="72" borderId="15" xfId="1" applyFont="1" applyFill="1" applyBorder="1" applyAlignment="1">
      <alignment horizontal="left" vertical="center"/>
    </xf>
    <xf numFmtId="0" fontId="0" fillId="72" borderId="15" xfId="1" applyFont="1" applyFill="1" applyBorder="1" applyAlignment="1">
      <alignment horizontal="center" vertical="center"/>
    </xf>
    <xf numFmtId="0" fontId="0" fillId="72" borderId="23" xfId="1" applyFont="1" applyFill="1" applyBorder="1" applyAlignment="1">
      <alignment horizontal="center" vertical="center"/>
    </xf>
    <xf numFmtId="3" fontId="0" fillId="72" borderId="15" xfId="1" applyNumberFormat="1" applyFont="1" applyFill="1" applyBorder="1"/>
    <xf numFmtId="0" fontId="0" fillId="72" borderId="15" xfId="1" applyFont="1" applyFill="1" applyBorder="1"/>
    <xf numFmtId="1" fontId="0" fillId="72" borderId="15" xfId="1" applyNumberFormat="1" applyFont="1" applyFill="1" applyBorder="1"/>
    <xf numFmtId="0" fontId="0" fillId="72" borderId="23" xfId="1" applyFont="1" applyFill="1" applyBorder="1"/>
    <xf numFmtId="9" fontId="3" fillId="72" borderId="15" xfId="1" applyNumberFormat="1" applyFont="1" applyFill="1" applyBorder="1"/>
    <xf numFmtId="9" fontId="3" fillId="72" borderId="23" xfId="1" applyNumberFormat="1" applyFont="1" applyFill="1" applyBorder="1"/>
    <xf numFmtId="3" fontId="3" fillId="72" borderId="22" xfId="1" applyNumberFormat="1" applyFont="1" applyFill="1" applyBorder="1"/>
    <xf numFmtId="3" fontId="3" fillId="72" borderId="15" xfId="1" applyNumberFormat="1" applyFont="1" applyFill="1" applyBorder="1"/>
    <xf numFmtId="3" fontId="7" fillId="72" borderId="22" xfId="1" applyNumberFormat="1" applyFont="1" applyFill="1" applyBorder="1"/>
    <xf numFmtId="3" fontId="7" fillId="72" borderId="15" xfId="1" applyNumberFormat="1" applyFont="1" applyFill="1" applyBorder="1"/>
    <xf numFmtId="3" fontId="7" fillId="72" borderId="23" xfId="1" applyNumberFormat="1" applyFont="1" applyFill="1" applyBorder="1"/>
    <xf numFmtId="0" fontId="7" fillId="72" borderId="0" xfId="1" applyFont="1" applyFill="1" applyBorder="1"/>
    <xf numFmtId="0" fontId="9" fillId="72" borderId="15" xfId="1" applyFont="1" applyFill="1" applyBorder="1"/>
    <xf numFmtId="3" fontId="4" fillId="72" borderId="15" xfId="1" applyNumberFormat="1" applyFont="1" applyFill="1" applyBorder="1"/>
    <xf numFmtId="0" fontId="0" fillId="72" borderId="0" xfId="1" applyFont="1" applyFill="1" applyBorder="1" applyAlignment="1">
      <alignment horizontal="left" wrapText="1"/>
    </xf>
    <xf numFmtId="3" fontId="0" fillId="72" borderId="0" xfId="0" applyNumberFormat="1" applyFill="1" applyBorder="1"/>
    <xf numFmtId="3" fontId="9" fillId="72" borderId="0" xfId="734" applyNumberFormat="1" applyFill="1" applyBorder="1"/>
    <xf numFmtId="0" fontId="0" fillId="72" borderId="0" xfId="0" applyFill="1" applyBorder="1"/>
    <xf numFmtId="3" fontId="9" fillId="72" borderId="0" xfId="0" applyNumberFormat="1" applyFont="1" applyFill="1" applyBorder="1"/>
    <xf numFmtId="9" fontId="0" fillId="72" borderId="0" xfId="0" applyNumberFormat="1" applyFill="1" applyBorder="1"/>
    <xf numFmtId="9" fontId="7" fillId="72" borderId="0" xfId="0" applyNumberFormat="1" applyFont="1" applyFill="1" applyBorder="1"/>
    <xf numFmtId="1" fontId="0" fillId="72" borderId="0" xfId="0" applyNumberFormat="1" applyFill="1" applyBorder="1"/>
    <xf numFmtId="0" fontId="0" fillId="72" borderId="11" xfId="0" applyFill="1" applyBorder="1"/>
    <xf numFmtId="9" fontId="3" fillId="72" borderId="0" xfId="0" applyNumberFormat="1" applyFont="1" applyFill="1" applyBorder="1"/>
    <xf numFmtId="9" fontId="3" fillId="72" borderId="11" xfId="0" applyNumberFormat="1" applyFont="1" applyFill="1" applyBorder="1"/>
    <xf numFmtId="0" fontId="7" fillId="72" borderId="0" xfId="0" applyFont="1" applyFill="1" applyBorder="1"/>
    <xf numFmtId="0" fontId="0" fillId="62" borderId="17" xfId="1" applyFont="1" applyFill="1" applyBorder="1" applyAlignment="1">
      <alignment horizontal="center" vertical="center"/>
    </xf>
    <xf numFmtId="3" fontId="3" fillId="62" borderId="18" xfId="1" applyNumberFormat="1" applyFont="1" applyFill="1" applyBorder="1"/>
    <xf numFmtId="3" fontId="3" fillId="62" borderId="10" xfId="1" applyNumberFormat="1" applyFont="1" applyFill="1" applyBorder="1"/>
    <xf numFmtId="167" fontId="0" fillId="62" borderId="0" xfId="1" applyNumberFormat="1" applyFont="1" applyFill="1" applyBorder="1"/>
    <xf numFmtId="0" fontId="0" fillId="62" borderId="15" xfId="1" applyFont="1" applyFill="1" applyBorder="1" applyAlignment="1">
      <alignment horizontal="left" vertical="center"/>
    </xf>
    <xf numFmtId="0" fontId="0" fillId="62" borderId="15" xfId="1" applyFont="1" applyFill="1" applyBorder="1" applyAlignment="1">
      <alignment horizontal="center" vertical="center"/>
    </xf>
    <xf numFmtId="0" fontId="0" fillId="62" borderId="23" xfId="1" applyFont="1" applyFill="1" applyBorder="1" applyAlignment="1">
      <alignment horizontal="center" vertical="center"/>
    </xf>
    <xf numFmtId="3" fontId="0" fillId="62" borderId="15" xfId="1" applyNumberFormat="1" applyFont="1" applyFill="1" applyBorder="1"/>
    <xf numFmtId="0" fontId="0" fillId="62" borderId="15" xfId="1" applyFont="1" applyFill="1" applyBorder="1"/>
    <xf numFmtId="9" fontId="0" fillId="62" borderId="15" xfId="1" applyNumberFormat="1" applyFont="1" applyFill="1" applyBorder="1"/>
    <xf numFmtId="9" fontId="7" fillId="62" borderId="15" xfId="1" applyNumberFormat="1" applyFont="1" applyFill="1" applyBorder="1"/>
    <xf numFmtId="1" fontId="0" fillId="62" borderId="15" xfId="1" applyNumberFormat="1" applyFont="1" applyFill="1" applyBorder="1"/>
    <xf numFmtId="0" fontId="0" fillId="62" borderId="23" xfId="1" applyFont="1" applyFill="1" applyBorder="1"/>
    <xf numFmtId="9" fontId="3" fillId="62" borderId="15" xfId="1" applyNumberFormat="1" applyFont="1" applyFill="1" applyBorder="1"/>
    <xf numFmtId="9" fontId="3" fillId="62" borderId="23" xfId="1" applyNumberFormat="1" applyFont="1" applyFill="1" applyBorder="1"/>
    <xf numFmtId="3" fontId="3" fillId="62" borderId="22" xfId="1" applyNumberFormat="1" applyFont="1" applyFill="1" applyBorder="1"/>
    <xf numFmtId="3" fontId="3" fillId="62" borderId="15" xfId="1" applyNumberFormat="1" applyFont="1" applyFill="1" applyBorder="1"/>
    <xf numFmtId="3" fontId="7" fillId="62" borderId="22" xfId="1" applyNumberFormat="1" applyFont="1" applyFill="1" applyBorder="1"/>
    <xf numFmtId="3" fontId="7" fillId="62" borderId="15" xfId="1" applyNumberFormat="1" applyFont="1" applyFill="1" applyBorder="1"/>
    <xf numFmtId="3" fontId="7" fillId="62" borderId="23" xfId="1" applyNumberFormat="1" applyFont="1" applyFill="1" applyBorder="1"/>
    <xf numFmtId="3" fontId="9" fillId="62" borderId="15" xfId="1" applyNumberFormat="1" applyFont="1" applyFill="1" applyBorder="1"/>
    <xf numFmtId="0" fontId="7" fillId="62" borderId="15" xfId="1" applyFont="1" applyFill="1" applyBorder="1"/>
    <xf numFmtId="3" fontId="4" fillId="62" borderId="15" xfId="1" applyNumberFormat="1" applyFont="1" applyFill="1" applyBorder="1"/>
    <xf numFmtId="0" fontId="0" fillId="62" borderId="0" xfId="1" applyFont="1" applyFill="1" applyBorder="1" applyAlignment="1">
      <alignment horizontal="left" wrapText="1"/>
    </xf>
    <xf numFmtId="0" fontId="0" fillId="62" borderId="15" xfId="1" applyFont="1" applyFill="1" applyBorder="1" applyAlignment="1">
      <alignment horizontal="left" wrapText="1"/>
    </xf>
    <xf numFmtId="3" fontId="0" fillId="25" borderId="0" xfId="1" applyNumberFormat="1" applyFont="1" applyFill="1" applyBorder="1" applyAlignment="1">
      <alignment wrapText="1"/>
    </xf>
    <xf numFmtId="3" fontId="0" fillId="25" borderId="10" xfId="1" applyNumberFormat="1" applyFont="1" applyFill="1" applyBorder="1" applyAlignment="1">
      <alignment wrapText="1"/>
    </xf>
    <xf numFmtId="0" fontId="0" fillId="25" borderId="10" xfId="1" applyFont="1" applyFill="1" applyBorder="1" applyAlignment="1">
      <alignment wrapText="1"/>
    </xf>
    <xf numFmtId="0" fontId="0" fillId="25" borderId="0" xfId="1" applyFont="1" applyFill="1" applyBorder="1" applyAlignment="1">
      <alignment wrapText="1"/>
    </xf>
    <xf numFmtId="0" fontId="0" fillId="25" borderId="11" xfId="1" applyFont="1" applyFill="1" applyBorder="1" applyAlignment="1">
      <alignment wrapText="1"/>
    </xf>
    <xf numFmtId="3" fontId="0" fillId="25" borderId="18" xfId="1" applyNumberFormat="1" applyFont="1" applyFill="1" applyBorder="1" applyAlignment="1">
      <alignment wrapText="1"/>
    </xf>
    <xf numFmtId="0" fontId="3" fillId="25" borderId="18" xfId="1" applyFont="1" applyFill="1" applyBorder="1" applyAlignment="1">
      <alignment horizontal="center" wrapText="1"/>
    </xf>
    <xf numFmtId="0" fontId="0" fillId="25" borderId="18" xfId="1" applyFont="1" applyFill="1" applyBorder="1" applyAlignment="1">
      <alignment horizontal="center" wrapText="1"/>
    </xf>
    <xf numFmtId="0" fontId="0" fillId="25" borderId="17" xfId="1" applyFont="1" applyFill="1" applyBorder="1" applyAlignment="1">
      <alignment wrapText="1"/>
    </xf>
    <xf numFmtId="0" fontId="4" fillId="24" borderId="10" xfId="22" applyFont="1" applyFill="1" applyBorder="1" applyAlignment="1">
      <alignment horizontal="center"/>
    </xf>
    <xf numFmtId="0" fontId="4" fillId="24" borderId="18" xfId="22" applyFont="1" applyFill="1" applyBorder="1" applyAlignment="1">
      <alignment horizontal="center" wrapText="1"/>
    </xf>
    <xf numFmtId="0" fontId="4" fillId="24" borderId="10" xfId="22" applyFont="1" applyFill="1" applyBorder="1" applyAlignment="1">
      <alignment horizontal="center" wrapText="1"/>
    </xf>
    <xf numFmtId="0" fontId="53" fillId="0" borderId="0" xfId="827" applyFont="1" applyFill="1" applyBorder="1" applyAlignment="1"/>
    <xf numFmtId="0" fontId="3" fillId="72" borderId="0" xfId="0" applyFont="1" applyFill="1"/>
    <xf numFmtId="0" fontId="3" fillId="0" borderId="10" xfId="0" applyFont="1" applyBorder="1"/>
    <xf numFmtId="0" fontId="3" fillId="62" borderId="15" xfId="0" applyFont="1" applyFill="1" applyBorder="1"/>
    <xf numFmtId="0" fontId="3" fillId="72" borderId="0" xfId="0" applyFont="1" applyFill="1" applyBorder="1"/>
    <xf numFmtId="0" fontId="54" fillId="0" borderId="0" xfId="0" applyFont="1" applyBorder="1" applyAlignment="1"/>
    <xf numFmtId="0" fontId="3" fillId="0" borderId="0" xfId="0" applyFont="1" applyFill="1" applyAlignment="1">
      <alignment vertical="top"/>
    </xf>
    <xf numFmtId="0" fontId="0" fillId="0" borderId="0" xfId="0" applyFill="1" applyAlignment="1">
      <alignment vertical="top"/>
    </xf>
    <xf numFmtId="3" fontId="0" fillId="0" borderId="0" xfId="0" applyNumberFormat="1" applyAlignment="1">
      <alignment horizontal="right"/>
    </xf>
    <xf numFmtId="165" fontId="0" fillId="0" borderId="0" xfId="0" applyNumberFormat="1" applyBorder="1"/>
    <xf numFmtId="165" fontId="0" fillId="0" borderId="0" xfId="0" applyNumberFormat="1"/>
    <xf numFmtId="0" fontId="0" fillId="0" borderId="0" xfId="0" applyFill="1" applyAlignment="1">
      <alignment vertical="top" wrapText="1"/>
    </xf>
    <xf numFmtId="0" fontId="0" fillId="0" borderId="0" xfId="0" applyAlignment="1">
      <alignment horizontal="left" vertical="top"/>
    </xf>
    <xf numFmtId="0" fontId="0" fillId="0" borderId="60" xfId="0" applyBorder="1" applyAlignment="1">
      <alignment horizontal="left" vertical="top"/>
    </xf>
    <xf numFmtId="0" fontId="3" fillId="0" borderId="63" xfId="0" applyFont="1" applyBorder="1" applyAlignment="1">
      <alignment horizontal="left" vertical="top"/>
    </xf>
    <xf numFmtId="0" fontId="3" fillId="0" borderId="93" xfId="0" applyFont="1" applyBorder="1" applyAlignment="1">
      <alignment horizontal="left" vertical="top"/>
    </xf>
    <xf numFmtId="0" fontId="3" fillId="0" borderId="93" xfId="0" applyFont="1" applyBorder="1" applyAlignment="1">
      <alignment horizontal="left" vertical="top" wrapText="1"/>
    </xf>
    <xf numFmtId="0" fontId="3" fillId="0" borderId="95" xfId="0" applyFont="1" applyBorder="1" applyAlignment="1">
      <alignment horizontal="left" vertical="top"/>
    </xf>
    <xf numFmtId="0" fontId="51" fillId="0" borderId="0" xfId="0" applyFont="1" applyAlignment="1">
      <alignment horizontal="left" vertical="top"/>
    </xf>
    <xf numFmtId="0" fontId="0" fillId="0" borderId="77" xfId="0" applyFont="1" applyBorder="1" applyAlignment="1">
      <alignment horizontal="left" vertical="top"/>
    </xf>
    <xf numFmtId="0" fontId="0" fillId="0" borderId="86" xfId="0" applyBorder="1" applyAlignment="1">
      <alignment horizontal="left" vertical="top"/>
    </xf>
    <xf numFmtId="0" fontId="0" fillId="0" borderId="94" xfId="0" applyBorder="1" applyAlignment="1">
      <alignment horizontal="left" vertical="top"/>
    </xf>
    <xf numFmtId="0" fontId="0" fillId="0" borderId="83" xfId="0" applyBorder="1" applyAlignment="1">
      <alignment horizontal="left" vertical="top"/>
    </xf>
    <xf numFmtId="0" fontId="0" fillId="0" borderId="0" xfId="1" applyFont="1" applyFill="1" applyAlignment="1">
      <alignment wrapText="1"/>
    </xf>
    <xf numFmtId="0" fontId="0" fillId="0" borderId="10" xfId="0" applyBorder="1" applyAlignment="1">
      <alignment horizontal="center"/>
    </xf>
    <xf numFmtId="0" fontId="3" fillId="0" borderId="80" xfId="1" applyBorder="1"/>
    <xf numFmtId="3" fontId="4" fillId="0" borderId="15" xfId="1" applyNumberFormat="1" applyFont="1" applyFill="1" applyBorder="1" applyAlignment="1">
      <alignment horizontal="center"/>
    </xf>
    <xf numFmtId="0" fontId="4" fillId="24" borderId="0" xfId="1" applyFont="1" applyFill="1" applyBorder="1" applyAlignment="1">
      <alignment horizontal="center" vertical="center" wrapText="1"/>
    </xf>
    <xf numFmtId="0" fontId="4" fillId="24" borderId="0" xfId="1" applyFont="1" applyFill="1" applyBorder="1" applyAlignment="1">
      <alignment horizontal="center" vertical="center"/>
    </xf>
    <xf numFmtId="0" fontId="4" fillId="24" borderId="15" xfId="1" applyFont="1" applyFill="1" applyBorder="1" applyAlignment="1">
      <alignment horizontal="center" vertical="center"/>
    </xf>
    <xf numFmtId="0" fontId="4" fillId="24" borderId="11" xfId="1" applyFont="1" applyFill="1" applyBorder="1" applyAlignment="1">
      <alignment horizontal="center" vertical="center"/>
    </xf>
    <xf numFmtId="0" fontId="4" fillId="24" borderId="18" xfId="1" applyFont="1" applyFill="1" applyBorder="1" applyAlignment="1">
      <alignment horizontal="center" vertical="center" wrapText="1"/>
    </xf>
    <xf numFmtId="0" fontId="4" fillId="24" borderId="80" xfId="1" applyFont="1" applyFill="1" applyBorder="1" applyAlignment="1">
      <alignment horizontal="center" vertical="center" wrapText="1"/>
    </xf>
    <xf numFmtId="0" fontId="4" fillId="24" borderId="22" xfId="1" applyFont="1" applyFill="1" applyBorder="1" applyAlignment="1">
      <alignment horizontal="center" vertical="center" wrapText="1"/>
    </xf>
    <xf numFmtId="0" fontId="4" fillId="24" borderId="10" xfId="1" applyFont="1" applyFill="1" applyBorder="1" applyAlignment="1">
      <alignment horizontal="center" vertical="center" wrapText="1"/>
    </xf>
    <xf numFmtId="0" fontId="4" fillId="24" borderId="17" xfId="1" applyFont="1" applyFill="1" applyBorder="1" applyAlignment="1">
      <alignment horizontal="center" vertical="center"/>
    </xf>
    <xf numFmtId="0" fontId="4" fillId="24" borderId="10" xfId="1" applyFont="1" applyFill="1" applyBorder="1" applyAlignment="1">
      <alignment horizontal="center" vertical="center"/>
    </xf>
    <xf numFmtId="0" fontId="4" fillId="0" borderId="19" xfId="1" applyFont="1" applyFill="1" applyBorder="1" applyAlignment="1">
      <alignment horizontal="center"/>
    </xf>
    <xf numFmtId="0" fontId="4" fillId="0" borderId="11" xfId="1" applyFont="1" applyFill="1" applyBorder="1" applyAlignment="1">
      <alignment horizontal="center"/>
    </xf>
    <xf numFmtId="0" fontId="4" fillId="0" borderId="80" xfId="1" applyFont="1" applyFill="1" applyBorder="1" applyAlignment="1">
      <alignment horizontal="center"/>
    </xf>
    <xf numFmtId="0" fontId="0" fillId="25" borderId="23" xfId="1" applyFont="1" applyFill="1" applyBorder="1" applyAlignment="1">
      <alignment horizontal="center"/>
    </xf>
    <xf numFmtId="3" fontId="9" fillId="73" borderId="80" xfId="1" applyNumberFormat="1" applyFont="1" applyFill="1" applyBorder="1" applyAlignment="1">
      <alignment horizontal="center" wrapText="1"/>
    </xf>
    <xf numFmtId="3" fontId="9" fillId="73" borderId="0" xfId="1" applyNumberFormat="1" applyFont="1" applyFill="1" applyBorder="1" applyAlignment="1">
      <alignment horizontal="center" wrapText="1"/>
    </xf>
    <xf numFmtId="3" fontId="3" fillId="73" borderId="22" xfId="1" applyNumberFormat="1" applyFont="1" applyFill="1" applyBorder="1" applyAlignment="1">
      <alignment horizontal="center"/>
    </xf>
    <xf numFmtId="3" fontId="4" fillId="71" borderId="80" xfId="1" applyNumberFormat="1" applyFont="1" applyFill="1" applyBorder="1" applyAlignment="1">
      <alignment horizontal="center" wrapText="1"/>
    </xf>
    <xf numFmtId="3" fontId="4" fillId="71" borderId="0" xfId="1" applyNumberFormat="1" applyFont="1" applyFill="1" applyBorder="1" applyAlignment="1">
      <alignment horizontal="center" wrapText="1"/>
    </xf>
    <xf numFmtId="3" fontId="4" fillId="71" borderId="11" xfId="1" applyNumberFormat="1" applyFont="1" applyFill="1" applyBorder="1" applyAlignment="1">
      <alignment horizontal="center" wrapText="1"/>
    </xf>
    <xf numFmtId="3" fontId="9" fillId="71" borderId="80" xfId="1" applyNumberFormat="1" applyFont="1" applyFill="1" applyBorder="1" applyAlignment="1">
      <alignment horizontal="center" wrapText="1"/>
    </xf>
    <xf numFmtId="3" fontId="9" fillId="71" borderId="0" xfId="1" applyNumberFormat="1" applyFont="1" applyFill="1" applyBorder="1" applyAlignment="1">
      <alignment horizontal="center" wrapText="1"/>
    </xf>
    <xf numFmtId="3" fontId="9" fillId="71" borderId="11" xfId="1" applyNumberFormat="1" applyFont="1" applyFill="1" applyBorder="1" applyAlignment="1">
      <alignment horizontal="center" wrapText="1"/>
    </xf>
    <xf numFmtId="3" fontId="3" fillId="71" borderId="22" xfId="1" applyNumberFormat="1" applyFont="1" applyFill="1" applyBorder="1" applyAlignment="1">
      <alignment horizontal="center"/>
    </xf>
    <xf numFmtId="3" fontId="0" fillId="71" borderId="15" xfId="1" applyNumberFormat="1" applyFont="1" applyFill="1" applyBorder="1" applyAlignment="1">
      <alignment horizontal="center"/>
    </xf>
    <xf numFmtId="3" fontId="0" fillId="71" borderId="23" xfId="1" applyNumberFormat="1" applyFont="1" applyFill="1" applyBorder="1" applyAlignment="1">
      <alignment horizontal="center"/>
    </xf>
    <xf numFmtId="0" fontId="4" fillId="71" borderId="18" xfId="1" applyFont="1" applyFill="1" applyBorder="1" applyAlignment="1">
      <alignment horizontal="center" wrapText="1"/>
    </xf>
    <xf numFmtId="3" fontId="0" fillId="71" borderId="22" xfId="1" applyNumberFormat="1" applyFont="1" applyFill="1" applyBorder="1" applyAlignment="1">
      <alignment horizontal="center"/>
    </xf>
    <xf numFmtId="0" fontId="0" fillId="0" borderId="15" xfId="1" applyFont="1" applyFill="1" applyBorder="1"/>
    <xf numFmtId="0" fontId="0" fillId="0" borderId="22" xfId="1" applyFont="1" applyFill="1" applyBorder="1"/>
    <xf numFmtId="0" fontId="4" fillId="0" borderId="15" xfId="1" applyFont="1" applyFill="1" applyBorder="1" applyAlignment="1">
      <alignment horizontal="center"/>
    </xf>
    <xf numFmtId="37" fontId="3" fillId="73" borderId="0" xfId="335" applyNumberFormat="1" applyFont="1" applyFill="1" applyBorder="1" applyAlignment="1">
      <alignment horizontal="center" wrapText="1"/>
    </xf>
    <xf numFmtId="3" fontId="3" fillId="73" borderId="0" xfId="1" applyNumberFormat="1" applyFont="1" applyFill="1" applyBorder="1" applyAlignment="1">
      <alignment horizontal="center" wrapText="1"/>
    </xf>
    <xf numFmtId="3" fontId="4" fillId="73" borderId="80" xfId="1" applyNumberFormat="1" applyFont="1" applyFill="1" applyBorder="1" applyAlignment="1">
      <alignment horizontal="center"/>
    </xf>
    <xf numFmtId="3" fontId="4" fillId="73" borderId="0" xfId="1" applyNumberFormat="1" applyFont="1" applyFill="1" applyBorder="1" applyAlignment="1">
      <alignment horizontal="center"/>
    </xf>
    <xf numFmtId="3" fontId="3" fillId="73" borderId="15" xfId="1" applyNumberFormat="1" applyFont="1" applyFill="1" applyBorder="1" applyAlignment="1">
      <alignment horizontal="center"/>
    </xf>
    <xf numFmtId="0" fontId="4" fillId="0" borderId="23" xfId="1" applyFont="1" applyFill="1" applyBorder="1" applyAlignment="1">
      <alignment horizontal="center"/>
    </xf>
    <xf numFmtId="0" fontId="0" fillId="25" borderId="10" xfId="1" applyFont="1" applyFill="1" applyBorder="1" applyAlignment="1">
      <alignment horizontal="center" wrapText="1"/>
    </xf>
    <xf numFmtId="0" fontId="0" fillId="71" borderId="0" xfId="1" applyFont="1" applyFill="1" applyBorder="1" applyAlignment="1">
      <alignment horizontal="center" wrapText="1"/>
    </xf>
    <xf numFmtId="0" fontId="0" fillId="73" borderId="0" xfId="1" applyFont="1" applyFill="1" applyBorder="1" applyAlignment="1">
      <alignment horizontal="center" wrapText="1"/>
    </xf>
    <xf numFmtId="0" fontId="0" fillId="73" borderId="11" xfId="1" applyFont="1" applyFill="1" applyBorder="1" applyAlignment="1">
      <alignment horizontal="center" wrapText="1"/>
    </xf>
    <xf numFmtId="0" fontId="4" fillId="71" borderId="18" xfId="1" applyFont="1" applyFill="1" applyBorder="1" applyAlignment="1">
      <alignment horizontal="center"/>
    </xf>
    <xf numFmtId="0" fontId="4" fillId="71" borderId="10" xfId="1" applyFont="1" applyFill="1" applyBorder="1" applyAlignment="1">
      <alignment horizontal="center"/>
    </xf>
    <xf numFmtId="0" fontId="4" fillId="71" borderId="0" xfId="1" applyFont="1" applyFill="1" applyBorder="1" applyAlignment="1">
      <alignment horizontal="center"/>
    </xf>
    <xf numFmtId="0" fontId="4" fillId="71" borderId="17" xfId="1" applyFont="1" applyFill="1" applyBorder="1" applyAlignment="1">
      <alignment horizontal="center"/>
    </xf>
    <xf numFmtId="0" fontId="4" fillId="73" borderId="10" xfId="1" applyFont="1" applyFill="1" applyBorder="1" applyAlignment="1">
      <alignment horizontal="center"/>
    </xf>
    <xf numFmtId="0" fontId="4" fillId="73" borderId="17" xfId="1" applyFont="1" applyFill="1" applyBorder="1" applyAlignment="1">
      <alignment horizontal="center"/>
    </xf>
    <xf numFmtId="0" fontId="4" fillId="0" borderId="22" xfId="1" applyFont="1" applyFill="1" applyBorder="1" applyAlignment="1">
      <alignment horizontal="center"/>
    </xf>
    <xf numFmtId="9" fontId="7" fillId="73" borderId="80" xfId="1" applyNumberFormat="1" applyFont="1" applyFill="1" applyBorder="1" applyAlignment="1">
      <alignment horizontal="center" wrapText="1"/>
    </xf>
    <xf numFmtId="1" fontId="9" fillId="73" borderId="0" xfId="1" applyNumberFormat="1" applyFont="1" applyFill="1" applyBorder="1" applyAlignment="1">
      <alignment horizontal="center" wrapText="1"/>
    </xf>
    <xf numFmtId="0" fontId="4" fillId="73" borderId="18" xfId="1" applyFont="1" applyFill="1" applyBorder="1" applyAlignment="1">
      <alignment horizontal="center"/>
    </xf>
    <xf numFmtId="0" fontId="4" fillId="73" borderId="0" xfId="1" applyFont="1" applyFill="1" applyBorder="1" applyAlignment="1">
      <alignment vertical="center"/>
    </xf>
    <xf numFmtId="9" fontId="7" fillId="71" borderId="80" xfId="1" applyNumberFormat="1" applyFont="1" applyFill="1" applyBorder="1" applyAlignment="1">
      <alignment horizontal="center" wrapText="1"/>
    </xf>
    <xf numFmtId="1" fontId="9" fillId="71" borderId="0" xfId="1" applyNumberFormat="1" applyFont="1" applyFill="1" applyBorder="1" applyAlignment="1">
      <alignment horizontal="center" wrapText="1"/>
    </xf>
    <xf numFmtId="0" fontId="0" fillId="71" borderId="11" xfId="1" applyFont="1" applyFill="1" applyBorder="1" applyAlignment="1">
      <alignment horizontal="center" wrapText="1"/>
    </xf>
    <xf numFmtId="9" fontId="7" fillId="71" borderId="22" xfId="1" applyNumberFormat="1" applyFont="1" applyFill="1" applyBorder="1" applyAlignment="1">
      <alignment horizontal="center"/>
    </xf>
    <xf numFmtId="1" fontId="0" fillId="71" borderId="15" xfId="1" applyNumberFormat="1" applyFont="1" applyFill="1" applyBorder="1" applyAlignment="1">
      <alignment horizontal="center"/>
    </xf>
    <xf numFmtId="0" fontId="0" fillId="71" borderId="15" xfId="1" applyFont="1" applyFill="1" applyBorder="1" applyAlignment="1">
      <alignment horizontal="center"/>
    </xf>
    <xf numFmtId="0" fontId="0" fillId="71" borderId="23" xfId="1" applyFont="1" applyFill="1" applyBorder="1" applyAlignment="1">
      <alignment horizontal="center"/>
    </xf>
    <xf numFmtId="0" fontId="4" fillId="24" borderId="15" xfId="1" applyFont="1" applyFill="1" applyBorder="1" applyAlignment="1">
      <alignment horizontal="center" vertical="center" wrapText="1"/>
    </xf>
    <xf numFmtId="3" fontId="3" fillId="62" borderId="11" xfId="1" applyNumberFormat="1" applyFont="1" applyFill="1" applyBorder="1"/>
    <xf numFmtId="9" fontId="3" fillId="72" borderId="80" xfId="802" applyFont="1" applyFill="1" applyBorder="1"/>
    <xf numFmtId="9" fontId="3" fillId="72" borderId="0" xfId="802" applyFont="1" applyFill="1" applyBorder="1"/>
    <xf numFmtId="9" fontId="3" fillId="62" borderId="80" xfId="802" applyFont="1" applyFill="1" applyBorder="1"/>
    <xf numFmtId="9" fontId="3" fillId="62" borderId="0" xfId="802" applyFont="1" applyFill="1" applyBorder="1"/>
    <xf numFmtId="9" fontId="3" fillId="72" borderId="22" xfId="802" applyFont="1" applyFill="1" applyBorder="1"/>
    <xf numFmtId="9" fontId="3" fillId="72" borderId="15" xfId="802" applyFont="1" applyFill="1" applyBorder="1"/>
    <xf numFmtId="9" fontId="3" fillId="62" borderId="22" xfId="802" applyFont="1" applyFill="1" applyBorder="1"/>
    <xf numFmtId="9" fontId="3" fillId="62" borderId="15" xfId="802" applyFont="1" applyFill="1" applyBorder="1"/>
    <xf numFmtId="9" fontId="3" fillId="72" borderId="11" xfId="802" applyFont="1" applyFill="1" applyBorder="1"/>
    <xf numFmtId="9" fontId="3" fillId="62" borderId="11" xfId="802" applyFont="1" applyFill="1" applyBorder="1"/>
    <xf numFmtId="9" fontId="3" fillId="72" borderId="23" xfId="802" applyFont="1" applyFill="1" applyBorder="1"/>
    <xf numFmtId="9" fontId="3" fillId="62" borderId="23" xfId="802" applyFont="1" applyFill="1" applyBorder="1"/>
    <xf numFmtId="3" fontId="0" fillId="0" borderId="0" xfId="0" applyNumberFormat="1" applyFill="1"/>
    <xf numFmtId="3" fontId="0" fillId="0" borderId="16" xfId="0" applyNumberFormat="1" applyFill="1" applyBorder="1"/>
    <xf numFmtId="3" fontId="0" fillId="0" borderId="14" xfId="0" applyNumberFormat="1" applyFill="1" applyBorder="1"/>
    <xf numFmtId="0" fontId="0" fillId="0" borderId="16" xfId="0" applyFill="1" applyBorder="1"/>
    <xf numFmtId="0" fontId="0" fillId="0" borderId="14" xfId="0" applyFill="1" applyBorder="1"/>
    <xf numFmtId="1" fontId="0" fillId="0" borderId="0" xfId="0" applyNumberFormat="1" applyFill="1"/>
    <xf numFmtId="164" fontId="0" fillId="0" borderId="0" xfId="335" applyNumberFormat="1" applyFont="1" applyFill="1"/>
    <xf numFmtId="9" fontId="7" fillId="0" borderId="0" xfId="0" applyNumberFormat="1" applyFont="1" applyFill="1"/>
    <xf numFmtId="164" fontId="7" fillId="0" borderId="0" xfId="335" applyNumberFormat="1" applyFont="1" applyFill="1"/>
    <xf numFmtId="9" fontId="0" fillId="0" borderId="0" xfId="0" applyNumberFormat="1" applyFill="1"/>
    <xf numFmtId="0" fontId="0" fillId="0" borderId="0" xfId="1" applyFont="1" applyFill="1" applyBorder="1" applyAlignment="1">
      <alignment horizontal="left"/>
    </xf>
    <xf numFmtId="0" fontId="4" fillId="24" borderId="14" xfId="22" applyFont="1" applyFill="1" applyBorder="1" applyAlignment="1">
      <alignment horizontal="center"/>
    </xf>
    <xf numFmtId="3" fontId="0" fillId="74" borderId="0" xfId="0" applyNumberFormat="1" applyFill="1"/>
    <xf numFmtId="0" fontId="0" fillId="74" borderId="0" xfId="0" applyFill="1"/>
    <xf numFmtId="3" fontId="0" fillId="75" borderId="0" xfId="0" applyNumberFormat="1" applyFill="1"/>
    <xf numFmtId="0" fontId="0" fillId="75" borderId="0" xfId="0" applyFill="1"/>
    <xf numFmtId="3" fontId="0" fillId="77" borderId="0" xfId="0" applyNumberFormat="1" applyFill="1"/>
    <xf numFmtId="0" fontId="0" fillId="77" borderId="0" xfId="0" applyFill="1"/>
    <xf numFmtId="0" fontId="0" fillId="25" borderId="17" xfId="1" applyFont="1" applyFill="1" applyBorder="1" applyAlignment="1">
      <alignment horizontal="center" wrapText="1"/>
    </xf>
    <xf numFmtId="0" fontId="0" fillId="0" borderId="0" xfId="0" applyAlignment="1">
      <alignment horizontal="left"/>
    </xf>
    <xf numFmtId="0" fontId="4" fillId="24" borderId="61" xfId="1" applyFont="1" applyFill="1" applyBorder="1" applyAlignment="1">
      <alignment horizontal="center" vertical="center"/>
    </xf>
    <xf numFmtId="0" fontId="3" fillId="0" borderId="0" xfId="0" applyFont="1" applyBorder="1"/>
    <xf numFmtId="0" fontId="0" fillId="25" borderId="85" xfId="1" applyFont="1" applyFill="1" applyBorder="1" applyAlignment="1">
      <alignment wrapText="1"/>
    </xf>
    <xf numFmtId="169" fontId="3" fillId="0" borderId="80" xfId="1" applyNumberFormat="1" applyBorder="1"/>
    <xf numFmtId="0" fontId="3" fillId="0" borderId="0" xfId="1" applyFont="1" applyFill="1" applyBorder="1"/>
    <xf numFmtId="4" fontId="3" fillId="0" borderId="0" xfId="1" applyNumberFormat="1" applyFont="1" applyBorder="1"/>
    <xf numFmtId="4" fontId="3" fillId="0" borderId="11" xfId="1" applyNumberFormat="1" applyFont="1" applyBorder="1"/>
    <xf numFmtId="169" fontId="3" fillId="0" borderId="0" xfId="1" applyNumberFormat="1" applyFont="1" applyBorder="1"/>
    <xf numFmtId="169" fontId="3" fillId="0" borderId="11" xfId="1" applyNumberFormat="1" applyFont="1" applyBorder="1"/>
    <xf numFmtId="169" fontId="4" fillId="0" borderId="80" xfId="1" applyNumberFormat="1" applyFont="1" applyBorder="1"/>
    <xf numFmtId="10" fontId="3" fillId="0" borderId="0" xfId="1" applyNumberFormat="1" applyFont="1" applyBorder="1" applyAlignment="1">
      <alignment horizontal="center"/>
    </xf>
    <xf numFmtId="0" fontId="3" fillId="0" borderId="43" xfId="1" applyFont="1" applyBorder="1" applyAlignment="1">
      <alignment horizontal="center"/>
    </xf>
    <xf numFmtId="3" fontId="0" fillId="62" borderId="22" xfId="1" applyNumberFormat="1" applyFont="1" applyFill="1" applyBorder="1"/>
    <xf numFmtId="0" fontId="3" fillId="0" borderId="15" xfId="0" applyFont="1" applyBorder="1"/>
    <xf numFmtId="3" fontId="4" fillId="62" borderId="22" xfId="1" applyNumberFormat="1" applyFont="1" applyFill="1" applyBorder="1"/>
    <xf numFmtId="167" fontId="0" fillId="62" borderId="23" xfId="1" applyNumberFormat="1" applyFont="1" applyFill="1" applyBorder="1"/>
    <xf numFmtId="3" fontId="0" fillId="72" borderId="22" xfId="1" applyNumberFormat="1" applyFont="1" applyFill="1" applyBorder="1"/>
    <xf numFmtId="3" fontId="0" fillId="72" borderId="18" xfId="1" applyNumberFormat="1" applyFont="1" applyFill="1" applyBorder="1"/>
    <xf numFmtId="3" fontId="0" fillId="72" borderId="10" xfId="1" applyNumberFormat="1" applyFont="1" applyFill="1" applyBorder="1"/>
    <xf numFmtId="3" fontId="4" fillId="72" borderId="10" xfId="1" applyNumberFormat="1" applyFont="1" applyFill="1" applyBorder="1"/>
    <xf numFmtId="0" fontId="0" fillId="72" borderId="17" xfId="1" applyFont="1" applyFill="1" applyBorder="1"/>
    <xf numFmtId="3" fontId="4" fillId="72" borderId="18" xfId="1" applyNumberFormat="1" applyFont="1" applyFill="1" applyBorder="1"/>
    <xf numFmtId="0" fontId="0" fillId="72" borderId="10" xfId="1" applyFont="1" applyFill="1" applyBorder="1"/>
    <xf numFmtId="3" fontId="4" fillId="62" borderId="80" xfId="1" applyNumberFormat="1" applyFont="1" applyFill="1" applyBorder="1"/>
    <xf numFmtId="3" fontId="4" fillId="72" borderId="80" xfId="1" applyNumberFormat="1" applyFont="1" applyFill="1" applyBorder="1"/>
    <xf numFmtId="3" fontId="4" fillId="72" borderId="22" xfId="1" applyNumberFormat="1" applyFont="1" applyFill="1" applyBorder="1"/>
    <xf numFmtId="3" fontId="0" fillId="62" borderId="80" xfId="1" applyNumberFormat="1" applyFont="1" applyFill="1" applyBorder="1"/>
    <xf numFmtId="3" fontId="0" fillId="72" borderId="80" xfId="1" applyNumberFormat="1" applyFont="1" applyFill="1" applyBorder="1"/>
    <xf numFmtId="167" fontId="0" fillId="62" borderId="11" xfId="1" applyNumberFormat="1" applyFont="1" applyFill="1" applyBorder="1"/>
    <xf numFmtId="9" fontId="0" fillId="72" borderId="18" xfId="1" applyNumberFormat="1" applyFont="1" applyFill="1" applyBorder="1"/>
    <xf numFmtId="9" fontId="0" fillId="62" borderId="80" xfId="1" applyNumberFormat="1" applyFont="1" applyFill="1" applyBorder="1"/>
    <xf numFmtId="9" fontId="0" fillId="72" borderId="22" xfId="1" applyNumberFormat="1" applyFont="1" applyFill="1" applyBorder="1"/>
    <xf numFmtId="9" fontId="0" fillId="72" borderId="80" xfId="1" applyNumberFormat="1" applyFont="1" applyFill="1" applyBorder="1"/>
    <xf numFmtId="9" fontId="0" fillId="62" borderId="22" xfId="1" applyNumberFormat="1" applyFont="1" applyFill="1" applyBorder="1"/>
    <xf numFmtId="9" fontId="7" fillId="72" borderId="18" xfId="1" applyNumberFormat="1" applyFont="1" applyFill="1" applyBorder="1"/>
    <xf numFmtId="1" fontId="0" fillId="72" borderId="10" xfId="1" applyNumberFormat="1" applyFont="1" applyFill="1" applyBorder="1"/>
    <xf numFmtId="9" fontId="7" fillId="62" borderId="80" xfId="1" applyNumberFormat="1" applyFont="1" applyFill="1" applyBorder="1"/>
    <xf numFmtId="9" fontId="7" fillId="72" borderId="80" xfId="1" applyNumberFormat="1" applyFont="1" applyFill="1" applyBorder="1"/>
    <xf numFmtId="9" fontId="7" fillId="72" borderId="22" xfId="1" applyNumberFormat="1" applyFont="1" applyFill="1" applyBorder="1"/>
    <xf numFmtId="9" fontId="7" fillId="62" borderId="22" xfId="1" applyNumberFormat="1" applyFont="1" applyFill="1" applyBorder="1"/>
    <xf numFmtId="9" fontId="3" fillId="72" borderId="18" xfId="1" applyNumberFormat="1" applyFont="1" applyFill="1" applyBorder="1"/>
    <xf numFmtId="9" fontId="3" fillId="72" borderId="10" xfId="1" applyNumberFormat="1" applyFont="1" applyFill="1" applyBorder="1"/>
    <xf numFmtId="9" fontId="3" fillId="72" borderId="17" xfId="1" applyNumberFormat="1" applyFont="1" applyFill="1" applyBorder="1"/>
    <xf numFmtId="9" fontId="3" fillId="62" borderId="80" xfId="1" applyNumberFormat="1" applyFont="1" applyFill="1" applyBorder="1"/>
    <xf numFmtId="9" fontId="3" fillId="72" borderId="80" xfId="1" applyNumberFormat="1" applyFont="1" applyFill="1" applyBorder="1"/>
    <xf numFmtId="9" fontId="3" fillId="62" borderId="22" xfId="1" applyNumberFormat="1" applyFont="1" applyFill="1" applyBorder="1"/>
    <xf numFmtId="9" fontId="3" fillId="72" borderId="22" xfId="1" applyNumberFormat="1" applyFont="1" applyFill="1" applyBorder="1"/>
    <xf numFmtId="9" fontId="3" fillId="72" borderId="18" xfId="802" applyFont="1" applyFill="1" applyBorder="1"/>
    <xf numFmtId="9" fontId="3" fillId="72" borderId="10" xfId="802" applyFont="1" applyFill="1" applyBorder="1"/>
    <xf numFmtId="9" fontId="3" fillId="72" borderId="17" xfId="802" applyFont="1" applyFill="1" applyBorder="1"/>
    <xf numFmtId="3" fontId="3" fillId="72" borderId="18" xfId="1" applyNumberFormat="1" applyFont="1" applyFill="1" applyBorder="1"/>
    <xf numFmtId="3" fontId="3" fillId="72" borderId="10" xfId="1" applyNumberFormat="1" applyFont="1" applyFill="1" applyBorder="1"/>
    <xf numFmtId="3" fontId="3" fillId="72" borderId="11" xfId="1" applyNumberFormat="1" applyFont="1" applyFill="1" applyBorder="1"/>
    <xf numFmtId="3" fontId="3" fillId="72" borderId="23" xfId="1" applyNumberFormat="1" applyFont="1" applyFill="1" applyBorder="1"/>
    <xf numFmtId="3" fontId="3" fillId="62" borderId="17" xfId="1" applyNumberFormat="1" applyFont="1" applyFill="1" applyBorder="1"/>
    <xf numFmtId="3" fontId="3" fillId="62" borderId="23" xfId="1" applyNumberFormat="1" applyFont="1" applyFill="1" applyBorder="1"/>
    <xf numFmtId="3" fontId="7" fillId="72" borderId="18" xfId="1" applyNumberFormat="1" applyFont="1" applyFill="1" applyBorder="1"/>
    <xf numFmtId="3" fontId="7" fillId="72" borderId="10" xfId="1" applyNumberFormat="1" applyFont="1" applyFill="1" applyBorder="1"/>
    <xf numFmtId="3" fontId="7" fillId="72" borderId="17" xfId="1" applyNumberFormat="1" applyFont="1" applyFill="1" applyBorder="1"/>
    <xf numFmtId="3" fontId="0" fillId="25" borderId="22" xfId="1" applyNumberFormat="1" applyFont="1" applyFill="1" applyBorder="1" applyAlignment="1">
      <alignment horizontal="center"/>
    </xf>
    <xf numFmtId="3" fontId="0" fillId="25" borderId="15" xfId="1" applyNumberFormat="1" applyFont="1" applyFill="1" applyBorder="1" applyAlignment="1">
      <alignment horizontal="center"/>
    </xf>
    <xf numFmtId="0" fontId="0" fillId="25" borderId="15" xfId="1" applyFont="1" applyFill="1" applyBorder="1" applyAlignment="1">
      <alignment horizontal="center"/>
    </xf>
    <xf numFmtId="9" fontId="7" fillId="73" borderId="15" xfId="1" applyNumberFormat="1" applyFont="1" applyFill="1" applyBorder="1" applyAlignment="1">
      <alignment horizontal="center"/>
    </xf>
    <xf numFmtId="1" fontId="0" fillId="73" borderId="15" xfId="1" applyNumberFormat="1" applyFont="1" applyFill="1" applyBorder="1" applyAlignment="1">
      <alignment horizontal="center"/>
    </xf>
    <xf numFmtId="0" fontId="0" fillId="73" borderId="15" xfId="1" applyFont="1" applyFill="1" applyBorder="1" applyAlignment="1">
      <alignment horizontal="center"/>
    </xf>
    <xf numFmtId="0" fontId="14" fillId="73" borderId="22" xfId="1" applyFont="1" applyFill="1" applyBorder="1" applyAlignment="1">
      <alignment horizontal="center"/>
    </xf>
    <xf numFmtId="0" fontId="14" fillId="71" borderId="22" xfId="1" applyFont="1" applyFill="1" applyBorder="1" applyAlignment="1">
      <alignment horizontal="center"/>
    </xf>
    <xf numFmtId="0" fontId="0" fillId="62" borderId="22" xfId="1" applyFont="1" applyFill="1" applyBorder="1" applyAlignment="1">
      <alignment horizontal="left" vertical="center"/>
    </xf>
    <xf numFmtId="0" fontId="9" fillId="0" borderId="0" xfId="0" applyFont="1" applyBorder="1" applyAlignment="1">
      <alignment horizontal="center"/>
    </xf>
    <xf numFmtId="0" fontId="3" fillId="62" borderId="11" xfId="1" applyFont="1" applyFill="1" applyBorder="1"/>
    <xf numFmtId="0" fontId="3" fillId="72" borderId="0" xfId="1" applyFont="1" applyFill="1" applyBorder="1"/>
    <xf numFmtId="0" fontId="3" fillId="72" borderId="11" xfId="1" applyFont="1" applyFill="1" applyBorder="1"/>
    <xf numFmtId="0" fontId="3" fillId="62" borderId="0" xfId="1" applyFont="1" applyFill="1" applyBorder="1"/>
    <xf numFmtId="0" fontId="3" fillId="62" borderId="23" xfId="1" applyFont="1" applyFill="1" applyBorder="1"/>
    <xf numFmtId="0" fontId="3" fillId="72" borderId="23" xfId="1" applyFont="1" applyFill="1" applyBorder="1"/>
    <xf numFmtId="0" fontId="3" fillId="72" borderId="15" xfId="1" applyFont="1" applyFill="1" applyBorder="1"/>
    <xf numFmtId="3" fontId="3" fillId="72" borderId="0" xfId="0" applyNumberFormat="1" applyFont="1" applyFill="1" applyBorder="1"/>
    <xf numFmtId="0" fontId="3" fillId="72" borderId="11" xfId="0" applyFont="1" applyFill="1" applyBorder="1"/>
    <xf numFmtId="170" fontId="4" fillId="62" borderId="22" xfId="1" applyNumberFormat="1" applyFont="1" applyFill="1" applyBorder="1"/>
    <xf numFmtId="170" fontId="4" fillId="72" borderId="80" xfId="1" applyNumberFormat="1" applyFont="1" applyFill="1" applyBorder="1"/>
    <xf numFmtId="170" fontId="4" fillId="62" borderId="80" xfId="1" applyNumberFormat="1" applyFont="1" applyFill="1" applyBorder="1"/>
    <xf numFmtId="170" fontId="4" fillId="72" borderId="22" xfId="1" applyNumberFormat="1" applyFont="1" applyFill="1" applyBorder="1"/>
    <xf numFmtId="3" fontId="3" fillId="72" borderId="80" xfId="0" applyNumberFormat="1" applyFont="1" applyFill="1" applyBorder="1"/>
    <xf numFmtId="3" fontId="3" fillId="72" borderId="11" xfId="0" applyNumberFormat="1" applyFont="1" applyFill="1" applyBorder="1"/>
    <xf numFmtId="170" fontId="4" fillId="72" borderId="40" xfId="1" applyNumberFormat="1" applyFont="1" applyFill="1" applyBorder="1"/>
    <xf numFmtId="170" fontId="4" fillId="62" borderId="40" xfId="1" applyNumberFormat="1" applyFont="1" applyFill="1" applyBorder="1"/>
    <xf numFmtId="170" fontId="4" fillId="62" borderId="33" xfId="1" applyNumberFormat="1" applyFont="1" applyFill="1" applyBorder="1"/>
    <xf numFmtId="170" fontId="4" fillId="72" borderId="33" xfId="1" applyNumberFormat="1" applyFont="1" applyFill="1" applyBorder="1"/>
    <xf numFmtId="170" fontId="4" fillId="72" borderId="40" xfId="0" applyNumberFormat="1" applyFont="1" applyFill="1" applyBorder="1"/>
    <xf numFmtId="0" fontId="0" fillId="0" borderId="81" xfId="0" applyBorder="1" applyAlignment="1">
      <alignment vertical="center"/>
    </xf>
    <xf numFmtId="170" fontId="4" fillId="62" borderId="100" xfId="1" applyNumberFormat="1" applyFont="1" applyFill="1" applyBorder="1"/>
    <xf numFmtId="170" fontId="4" fillId="62" borderId="89" xfId="1" applyNumberFormat="1" applyFont="1" applyFill="1" applyBorder="1"/>
    <xf numFmtId="170" fontId="4" fillId="72" borderId="78" xfId="1" applyNumberFormat="1" applyFont="1" applyFill="1" applyBorder="1"/>
    <xf numFmtId="170" fontId="4" fillId="62" borderId="78" xfId="1" applyNumberFormat="1" applyFont="1" applyFill="1" applyBorder="1"/>
    <xf numFmtId="170" fontId="4" fillId="62" borderId="101" xfId="1" applyNumberFormat="1" applyFont="1" applyFill="1" applyBorder="1"/>
    <xf numFmtId="170" fontId="4" fillId="72" borderId="101" xfId="1" applyNumberFormat="1" applyFont="1" applyFill="1" applyBorder="1"/>
    <xf numFmtId="170" fontId="4" fillId="72" borderId="78" xfId="0" applyNumberFormat="1" applyFont="1" applyFill="1" applyBorder="1"/>
    <xf numFmtId="170" fontId="4" fillId="62" borderId="79" xfId="1" applyNumberFormat="1" applyFont="1" applyFill="1" applyBorder="1"/>
    <xf numFmtId="170" fontId="4" fillId="62" borderId="67" xfId="1" applyNumberFormat="1" applyFont="1" applyFill="1" applyBorder="1"/>
    <xf numFmtId="0" fontId="3" fillId="62" borderId="0" xfId="1" applyFont="1" applyFill="1" applyBorder="1" applyAlignment="1">
      <alignment horizontal="center" vertical="center"/>
    </xf>
    <xf numFmtId="0" fontId="3" fillId="72" borderId="0" xfId="1" applyFont="1" applyFill="1" applyBorder="1" applyAlignment="1">
      <alignment horizontal="center" vertical="center"/>
    </xf>
    <xf numFmtId="0" fontId="0" fillId="25" borderId="0" xfId="1" applyFont="1" applyFill="1" applyBorder="1" applyAlignment="1">
      <alignment horizontal="center" wrapText="1"/>
    </xf>
    <xf numFmtId="168" fontId="0" fillId="62" borderId="0" xfId="1" applyNumberFormat="1" applyFont="1" applyFill="1" applyBorder="1"/>
    <xf numFmtId="168" fontId="0" fillId="72" borderId="0" xfId="1" applyNumberFormat="1" applyFont="1" applyFill="1" applyBorder="1"/>
    <xf numFmtId="168" fontId="0" fillId="72" borderId="10" xfId="1" applyNumberFormat="1" applyFont="1" applyFill="1" applyBorder="1"/>
    <xf numFmtId="168" fontId="0" fillId="72" borderId="15" xfId="1" applyNumberFormat="1" applyFont="1" applyFill="1" applyBorder="1"/>
    <xf numFmtId="168" fontId="0" fillId="62" borderId="15" xfId="1" applyNumberFormat="1" applyFont="1" applyFill="1" applyBorder="1"/>
    <xf numFmtId="168" fontId="0" fillId="72" borderId="0" xfId="0" applyNumberFormat="1" applyFill="1" applyBorder="1"/>
    <xf numFmtId="3" fontId="3" fillId="25" borderId="0" xfId="1" applyNumberFormat="1" applyFont="1" applyFill="1" applyBorder="1" applyAlignment="1">
      <alignment wrapText="1"/>
    </xf>
    <xf numFmtId="0" fontId="55" fillId="0" borderId="11" xfId="0" applyFont="1" applyBorder="1"/>
    <xf numFmtId="0" fontId="3" fillId="62" borderId="15" xfId="1" applyFont="1" applyFill="1" applyBorder="1"/>
    <xf numFmtId="3" fontId="3" fillId="0" borderId="0" xfId="1" applyNumberFormat="1" applyFont="1" applyFill="1" applyBorder="1"/>
    <xf numFmtId="3" fontId="3" fillId="0" borderId="0" xfId="0" applyNumberFormat="1" applyFont="1" applyFill="1" applyBorder="1"/>
    <xf numFmtId="0" fontId="3" fillId="62" borderId="11" xfId="1" applyFont="1" applyFill="1" applyBorder="1" applyAlignment="1">
      <alignment horizontal="left" vertical="center"/>
    </xf>
    <xf numFmtId="0" fontId="0" fillId="72" borderId="11" xfId="1" applyFont="1" applyFill="1" applyBorder="1" applyAlignment="1">
      <alignment horizontal="left" vertical="center"/>
    </xf>
    <xf numFmtId="0" fontId="3" fillId="0" borderId="0" xfId="0" applyFont="1" applyFill="1" applyBorder="1"/>
    <xf numFmtId="165" fontId="0" fillId="0" borderId="0" xfId="0" applyNumberFormat="1" applyFill="1" applyBorder="1"/>
    <xf numFmtId="0" fontId="3" fillId="62" borderId="10" xfId="1" applyFont="1" applyFill="1" applyBorder="1"/>
    <xf numFmtId="170" fontId="4" fillId="62" borderId="18" xfId="1" applyNumberFormat="1" applyFont="1" applyFill="1" applyBorder="1"/>
    <xf numFmtId="170" fontId="4" fillId="62" borderId="29" xfId="1" applyNumberFormat="1" applyFont="1" applyFill="1" applyBorder="1"/>
    <xf numFmtId="0" fontId="0" fillId="62" borderId="18" xfId="1" applyFont="1" applyFill="1" applyBorder="1" applyAlignment="1">
      <alignment horizontal="left" vertical="center"/>
    </xf>
    <xf numFmtId="0" fontId="0" fillId="62" borderId="10" xfId="1" applyFont="1" applyFill="1" applyBorder="1" applyAlignment="1">
      <alignment horizontal="left" vertical="center"/>
    </xf>
    <xf numFmtId="0" fontId="0" fillId="62" borderId="10" xfId="1" applyFont="1" applyFill="1" applyBorder="1" applyAlignment="1">
      <alignment horizontal="center" vertical="center"/>
    </xf>
    <xf numFmtId="0" fontId="0" fillId="72" borderId="80" xfId="1" applyFont="1" applyFill="1" applyBorder="1" applyAlignment="1">
      <alignment horizontal="left" vertical="center"/>
    </xf>
    <xf numFmtId="0" fontId="0" fillId="62" borderId="80" xfId="1" applyFont="1" applyFill="1" applyBorder="1" applyAlignment="1">
      <alignment horizontal="left" vertical="center"/>
    </xf>
    <xf numFmtId="0" fontId="3" fillId="62" borderId="11" xfId="1" applyFont="1" applyFill="1" applyBorder="1" applyAlignment="1">
      <alignment horizontal="center" vertical="center"/>
    </xf>
    <xf numFmtId="170" fontId="3" fillId="62" borderId="80" xfId="1" applyNumberFormat="1" applyFont="1" applyFill="1" applyBorder="1"/>
    <xf numFmtId="0" fontId="4" fillId="0" borderId="0" xfId="0" applyFont="1"/>
    <xf numFmtId="0" fontId="3" fillId="0" borderId="0" xfId="0" applyFont="1" applyAlignment="1">
      <alignment wrapText="1"/>
    </xf>
    <xf numFmtId="0" fontId="3" fillId="0" borderId="0" xfId="0" applyFont="1" applyBorder="1" applyAlignment="1"/>
    <xf numFmtId="0" fontId="3" fillId="72" borderId="10" xfId="1" applyFont="1" applyFill="1" applyBorder="1"/>
    <xf numFmtId="0" fontId="3" fillId="72" borderId="17" xfId="1" applyFont="1" applyFill="1" applyBorder="1"/>
    <xf numFmtId="3" fontId="0" fillId="72" borderId="11" xfId="1" applyNumberFormat="1" applyFont="1" applyFill="1" applyBorder="1"/>
    <xf numFmtId="49" fontId="0" fillId="72" borderId="11" xfId="1" applyNumberFormat="1" applyFont="1" applyFill="1" applyBorder="1"/>
    <xf numFmtId="14" fontId="8" fillId="27" borderId="0" xfId="3656" applyNumberFormat="1" applyFont="1" applyFill="1"/>
    <xf numFmtId="0" fontId="8" fillId="27" borderId="0" xfId="3656" applyFont="1" applyFill="1"/>
    <xf numFmtId="1" fontId="3" fillId="27" borderId="0" xfId="3851" applyNumberFormat="1" applyFont="1" applyFill="1"/>
    <xf numFmtId="0" fontId="3" fillId="27" borderId="0" xfId="3851" applyFont="1" applyFill="1"/>
    <xf numFmtId="165" fontId="3" fillId="27" borderId="0" xfId="3851" applyNumberFormat="1" applyFont="1" applyFill="1"/>
    <xf numFmtId="2" fontId="3" fillId="27" borderId="0" xfId="3851" applyNumberFormat="1" applyFont="1" applyFill="1"/>
    <xf numFmtId="0" fontId="56" fillId="27" borderId="0" xfId="3656" applyFont="1" applyFill="1"/>
    <xf numFmtId="0" fontId="57" fillId="27" borderId="0" xfId="3656" applyFont="1" applyFill="1"/>
    <xf numFmtId="0" fontId="57" fillId="27" borderId="0" xfId="3851" applyFont="1" applyFill="1"/>
    <xf numFmtId="0" fontId="8" fillId="80" borderId="0" xfId="3656" applyFont="1" applyFill="1"/>
    <xf numFmtId="1" fontId="8" fillId="80" borderId="0" xfId="112" applyNumberFormat="1" applyFont="1" applyFill="1"/>
    <xf numFmtId="0" fontId="8" fillId="80" borderId="0" xfId="112" applyFont="1" applyFill="1"/>
    <xf numFmtId="165" fontId="8" fillId="80" borderId="0" xfId="112" applyNumberFormat="1" applyFont="1" applyFill="1"/>
    <xf numFmtId="2" fontId="8" fillId="80" borderId="0" xfId="112" applyNumberFormat="1" applyFont="1" applyFill="1"/>
    <xf numFmtId="0" fontId="8" fillId="82" borderId="0" xfId="3656" applyFont="1" applyFill="1"/>
    <xf numFmtId="1" fontId="18" fillId="78" borderId="14" xfId="3656" applyNumberFormat="1" applyFont="1" applyFill="1" applyBorder="1" applyAlignment="1">
      <alignment horizontal="center" wrapText="1"/>
    </xf>
    <xf numFmtId="0" fontId="18" fillId="78" borderId="96" xfId="3656" applyFont="1" applyFill="1" applyBorder="1" applyAlignment="1">
      <alignment horizontal="left" wrapText="1"/>
    </xf>
    <xf numFmtId="165" fontId="18" fillId="78" borderId="96" xfId="112" applyNumberFormat="1" applyFont="1" applyFill="1" applyBorder="1" applyAlignment="1">
      <alignment horizontal="center" wrapText="1"/>
    </xf>
    <xf numFmtId="2" fontId="18" fillId="78" borderId="96" xfId="3656" applyNumberFormat="1" applyFont="1" applyFill="1" applyBorder="1" applyAlignment="1">
      <alignment horizontal="center" wrapText="1"/>
    </xf>
    <xf numFmtId="2" fontId="18" fillId="78" borderId="96" xfId="112" applyNumberFormat="1" applyFont="1" applyFill="1" applyBorder="1" applyAlignment="1">
      <alignment horizontal="center" wrapText="1"/>
    </xf>
    <xf numFmtId="2" fontId="18" fillId="78" borderId="25" xfId="112" applyNumberFormat="1" applyFont="1" applyFill="1" applyBorder="1" applyAlignment="1">
      <alignment horizontal="center" wrapText="1"/>
    </xf>
    <xf numFmtId="1" fontId="60" fillId="79" borderId="11" xfId="3656" applyNumberFormat="1" applyFont="1" applyFill="1" applyBorder="1" applyAlignment="1">
      <alignment horizontal="center"/>
    </xf>
    <xf numFmtId="0" fontId="60" fillId="79" borderId="19" xfId="3656" applyFont="1" applyFill="1" applyBorder="1" applyAlignment="1">
      <alignment horizontal="left"/>
    </xf>
    <xf numFmtId="165" fontId="60" fillId="79" borderId="11" xfId="3656" applyNumberFormat="1" applyFont="1" applyFill="1" applyBorder="1" applyAlignment="1">
      <alignment horizontal="center"/>
    </xf>
    <xf numFmtId="2" fontId="60" fillId="79" borderId="11" xfId="3656" applyNumberFormat="1" applyFont="1" applyFill="1" applyBorder="1" applyAlignment="1">
      <alignment horizontal="center"/>
    </xf>
    <xf numFmtId="2" fontId="60" fillId="79" borderId="11" xfId="111" applyNumberFormat="1" applyFont="1" applyFill="1" applyBorder="1" applyAlignment="1">
      <alignment horizontal="center"/>
    </xf>
    <xf numFmtId="2" fontId="60" fillId="79" borderId="20" xfId="829" applyNumberFormat="1" applyFont="1" applyFill="1" applyBorder="1" applyAlignment="1">
      <alignment horizontal="center"/>
    </xf>
    <xf numFmtId="2" fontId="60" fillId="79" borderId="29" xfId="829" applyNumberFormat="1" applyFont="1" applyFill="1" applyBorder="1" applyAlignment="1">
      <alignment horizontal="center"/>
    </xf>
    <xf numFmtId="2" fontId="60" fillId="79" borderId="19" xfId="829" applyNumberFormat="1" applyFont="1" applyFill="1" applyBorder="1" applyAlignment="1">
      <alignment horizontal="center"/>
    </xf>
    <xf numFmtId="2" fontId="60" fillId="79" borderId="40" xfId="829" applyNumberFormat="1" applyFont="1" applyFill="1" applyBorder="1" applyAlignment="1">
      <alignment horizontal="center"/>
    </xf>
    <xf numFmtId="1" fontId="60" fillId="79" borderId="81" xfId="3656" applyNumberFormat="1" applyFont="1" applyFill="1" applyBorder="1" applyAlignment="1">
      <alignment horizontal="center"/>
    </xf>
    <xf numFmtId="1" fontId="60" fillId="79" borderId="19" xfId="3656" applyNumberFormat="1" applyFont="1" applyFill="1" applyBorder="1" applyAlignment="1">
      <alignment horizontal="center"/>
    </xf>
    <xf numFmtId="1" fontId="60" fillId="79" borderId="40" xfId="3656" applyNumberFormat="1" applyFont="1" applyFill="1" applyBorder="1" applyAlignment="1">
      <alignment horizontal="center"/>
    </xf>
    <xf numFmtId="0" fontId="8" fillId="82" borderId="13" xfId="3656" applyFont="1" applyFill="1" applyBorder="1"/>
    <xf numFmtId="1" fontId="60" fillId="79" borderId="27" xfId="3656" applyNumberFormat="1" applyFont="1" applyFill="1" applyBorder="1" applyAlignment="1">
      <alignment horizontal="center"/>
    </xf>
    <xf numFmtId="165" fontId="60" fillId="79" borderId="27" xfId="3656" applyNumberFormat="1" applyFont="1" applyFill="1" applyBorder="1" applyAlignment="1">
      <alignment horizontal="center"/>
    </xf>
    <xf numFmtId="2" fontId="60" fillId="79" borderId="27" xfId="3656" applyNumberFormat="1" applyFont="1" applyFill="1" applyBorder="1" applyAlignment="1">
      <alignment horizontal="center"/>
    </xf>
    <xf numFmtId="2" fontId="60" fillId="79" borderId="27" xfId="112" applyNumberFormat="1" applyFont="1" applyFill="1" applyBorder="1" applyAlignment="1">
      <alignment horizontal="center"/>
    </xf>
    <xf numFmtId="2" fontId="60" fillId="79" borderId="27" xfId="829" applyNumberFormat="1" applyFont="1" applyFill="1" applyBorder="1" applyAlignment="1">
      <alignment horizontal="center"/>
    </xf>
    <xf numFmtId="2" fontId="60" fillId="79" borderId="28" xfId="829" applyNumberFormat="1" applyFont="1" applyFill="1" applyBorder="1" applyAlignment="1">
      <alignment horizontal="center"/>
    </xf>
    <xf numFmtId="1" fontId="60" fillId="79" borderId="91" xfId="3656" applyNumberFormat="1" applyFont="1" applyFill="1" applyBorder="1" applyAlignment="1">
      <alignment horizontal="center"/>
    </xf>
    <xf numFmtId="165" fontId="60" fillId="79" borderId="91" xfId="3656" applyNumberFormat="1" applyFont="1" applyFill="1" applyBorder="1" applyAlignment="1">
      <alignment horizontal="center"/>
    </xf>
    <xf numFmtId="2" fontId="60" fillId="79" borderId="91" xfId="3656" applyNumberFormat="1" applyFont="1" applyFill="1" applyBorder="1" applyAlignment="1">
      <alignment horizontal="center"/>
    </xf>
    <xf numFmtId="2" fontId="60" fillId="79" borderId="91" xfId="111" applyNumberFormat="1" applyFont="1" applyFill="1" applyBorder="1" applyAlignment="1">
      <alignment horizontal="center"/>
    </xf>
    <xf numFmtId="2" fontId="60" fillId="79" borderId="91" xfId="829" applyNumberFormat="1" applyFont="1" applyFill="1" applyBorder="1" applyAlignment="1">
      <alignment horizontal="center"/>
    </xf>
    <xf numFmtId="2" fontId="60" fillId="79" borderId="90" xfId="829" applyNumberFormat="1" applyFont="1" applyFill="1" applyBorder="1" applyAlignment="1">
      <alignment horizontal="center"/>
    </xf>
    <xf numFmtId="2" fontId="60" fillId="79" borderId="27" xfId="111" applyNumberFormat="1" applyFont="1" applyFill="1" applyBorder="1" applyAlignment="1">
      <alignment horizontal="center"/>
    </xf>
    <xf numFmtId="0" fontId="0" fillId="82" borderId="0" xfId="2" applyFont="1" applyFill="1"/>
    <xf numFmtId="2" fontId="8" fillId="80" borderId="0" xfId="3656" applyNumberFormat="1" applyFont="1" applyFill="1"/>
    <xf numFmtId="2" fontId="8" fillId="0" borderId="0" xfId="3656" applyNumberFormat="1" applyFont="1" applyFill="1"/>
    <xf numFmtId="0" fontId="59" fillId="68" borderId="0" xfId="3656" applyFont="1" applyFill="1" applyAlignment="1">
      <alignment horizontal="center" vertical="center" textRotation="90"/>
    </xf>
    <xf numFmtId="0" fontId="56" fillId="83" borderId="0" xfId="3656" applyFont="1" applyFill="1"/>
    <xf numFmtId="0" fontId="8" fillId="83" borderId="0" xfId="3656" applyFont="1" applyFill="1"/>
    <xf numFmtId="0" fontId="57" fillId="83" borderId="0" xfId="3656" applyFont="1" applyFill="1"/>
    <xf numFmtId="1" fontId="8" fillId="80" borderId="0" xfId="3656" applyNumberFormat="1" applyFont="1" applyFill="1"/>
    <xf numFmtId="165" fontId="8" fillId="80" borderId="0" xfId="3656" applyNumberFormat="1" applyFont="1" applyFill="1"/>
    <xf numFmtId="0" fontId="0" fillId="70" borderId="81" xfId="0" applyFill="1" applyBorder="1"/>
    <xf numFmtId="0" fontId="0" fillId="70" borderId="82" xfId="0" applyFill="1" applyBorder="1"/>
    <xf numFmtId="2" fontId="18" fillId="81" borderId="62" xfId="112" applyNumberFormat="1" applyFont="1" applyFill="1" applyBorder="1" applyAlignment="1">
      <alignment horizontal="center" wrapText="1"/>
    </xf>
    <xf numFmtId="2" fontId="18" fillId="81" borderId="34" xfId="112" applyNumberFormat="1" applyFont="1" applyFill="1" applyBorder="1" applyAlignment="1">
      <alignment horizontal="center" wrapText="1"/>
    </xf>
    <xf numFmtId="0" fontId="0" fillId="70" borderId="39" xfId="0" applyFill="1" applyBorder="1"/>
    <xf numFmtId="0" fontId="0" fillId="70" borderId="65" xfId="0" applyFill="1" applyBorder="1"/>
    <xf numFmtId="1" fontId="60" fillId="79" borderId="11" xfId="3656" applyNumberFormat="1" applyFont="1" applyFill="1" applyBorder="1" applyAlignment="1">
      <alignment horizontal="left"/>
    </xf>
    <xf numFmtId="0" fontId="0" fillId="70" borderId="0" xfId="0" applyFill="1" applyBorder="1"/>
    <xf numFmtId="2" fontId="18" fillId="0" borderId="0" xfId="112" applyNumberFormat="1" applyFont="1" applyFill="1" applyBorder="1" applyAlignment="1">
      <alignment horizontal="center" wrapText="1"/>
    </xf>
    <xf numFmtId="165" fontId="18" fillId="78" borderId="22" xfId="112" applyNumberFormat="1" applyFont="1" applyFill="1" applyBorder="1" applyAlignment="1"/>
    <xf numFmtId="165" fontId="18" fillId="78" borderId="15" xfId="112" applyNumberFormat="1" applyFont="1" applyFill="1" applyBorder="1" applyAlignment="1"/>
    <xf numFmtId="2" fontId="18" fillId="78" borderId="22" xfId="112" applyNumberFormat="1" applyFont="1" applyFill="1" applyBorder="1" applyAlignment="1"/>
    <xf numFmtId="2" fontId="18" fillId="78" borderId="15" xfId="112" applyNumberFormat="1" applyFont="1" applyFill="1" applyBorder="1" applyAlignment="1"/>
    <xf numFmtId="2" fontId="18" fillId="78" borderId="99" xfId="112" applyNumberFormat="1" applyFont="1" applyFill="1" applyBorder="1" applyAlignment="1"/>
    <xf numFmtId="0" fontId="58" fillId="79" borderId="63" xfId="3656" applyFont="1" applyFill="1" applyBorder="1" applyAlignment="1"/>
    <xf numFmtId="0" fontId="58" fillId="79" borderId="102" xfId="3656" applyFont="1" applyFill="1" applyBorder="1" applyAlignment="1"/>
    <xf numFmtId="0" fontId="58" fillId="79" borderId="95" xfId="3656" applyFont="1" applyFill="1" applyBorder="1" applyAlignment="1"/>
    <xf numFmtId="0" fontId="58" fillId="79" borderId="103" xfId="3656" applyFont="1" applyFill="1" applyBorder="1" applyAlignment="1"/>
    <xf numFmtId="0" fontId="58" fillId="79" borderId="63" xfId="3656" applyFont="1" applyFill="1" applyBorder="1" applyAlignment="1">
      <alignment horizontal="right"/>
    </xf>
    <xf numFmtId="0" fontId="58" fillId="79" borderId="95" xfId="3656" applyFont="1" applyFill="1" applyBorder="1" applyAlignment="1">
      <alignment horizontal="right"/>
    </xf>
    <xf numFmtId="0" fontId="3" fillId="65" borderId="56" xfId="1" applyFont="1" applyFill="1" applyBorder="1" applyAlignment="1">
      <alignment horizontal="center"/>
    </xf>
    <xf numFmtId="0" fontId="3" fillId="65" borderId="59" xfId="1" applyFont="1" applyFill="1" applyBorder="1" applyAlignment="1">
      <alignment horizontal="center"/>
    </xf>
    <xf numFmtId="4" fontId="3" fillId="0" borderId="80" xfId="1" applyNumberFormat="1" applyFont="1" applyBorder="1"/>
    <xf numFmtId="4" fontId="4" fillId="0" borderId="80" xfId="1" applyNumberFormat="1" applyFont="1" applyBorder="1"/>
    <xf numFmtId="169" fontId="3" fillId="0" borderId="80" xfId="1" applyNumberFormat="1" applyBorder="1" applyAlignment="1">
      <alignment horizontal="right"/>
    </xf>
    <xf numFmtId="2" fontId="3" fillId="0" borderId="80" xfId="1" applyNumberFormat="1" applyBorder="1" applyAlignment="1">
      <alignment horizontal="right"/>
    </xf>
    <xf numFmtId="14" fontId="3" fillId="0" borderId="0" xfId="1" applyNumberFormat="1" applyFont="1" applyBorder="1" applyAlignment="1">
      <alignment horizontal="center"/>
    </xf>
    <xf numFmtId="0" fontId="3" fillId="0" borderId="80" xfId="1" applyFont="1" applyBorder="1" applyAlignment="1">
      <alignment horizontal="center"/>
    </xf>
    <xf numFmtId="0" fontId="3" fillId="0" borderId="43" xfId="1" quotePrefix="1" applyFont="1" applyBorder="1" applyAlignment="1">
      <alignment horizontal="center"/>
    </xf>
    <xf numFmtId="169" fontId="3" fillId="0" borderId="80" xfId="1" applyNumberFormat="1" applyFont="1" applyBorder="1"/>
    <xf numFmtId="0" fontId="3" fillId="0" borderId="80" xfId="1" quotePrefix="1" applyFont="1" applyBorder="1" applyAlignment="1">
      <alignment horizontal="center"/>
    </xf>
    <xf numFmtId="2" fontId="3" fillId="0" borderId="11" xfId="1" applyNumberFormat="1" applyFont="1" applyFill="1" applyBorder="1" applyAlignment="1">
      <alignment horizontal="right"/>
    </xf>
    <xf numFmtId="2" fontId="3" fillId="0" borderId="11" xfId="1" applyNumberFormat="1" applyFill="1" applyBorder="1" applyAlignment="1">
      <alignment horizontal="right"/>
    </xf>
    <xf numFmtId="0" fontId="3" fillId="0" borderId="80" xfId="1" applyNumberFormat="1" applyBorder="1"/>
    <xf numFmtId="2" fontId="3" fillId="0" borderId="80" xfId="1" applyNumberFormat="1" applyBorder="1"/>
    <xf numFmtId="169" fontId="3" fillId="0" borderId="48" xfId="1" applyNumberFormat="1" applyBorder="1"/>
    <xf numFmtId="0" fontId="3" fillId="0" borderId="48" xfId="1" applyFont="1" applyBorder="1" applyAlignment="1">
      <alignment horizontal="center"/>
    </xf>
    <xf numFmtId="0" fontId="3" fillId="0" borderId="51" xfId="1" applyFont="1" applyBorder="1" applyAlignment="1">
      <alignment horizontal="center"/>
    </xf>
    <xf numFmtId="10" fontId="3" fillId="0" borderId="45" xfId="1" applyNumberFormat="1" applyFont="1" applyBorder="1" applyAlignment="1">
      <alignment horizontal="center"/>
    </xf>
    <xf numFmtId="169" fontId="3" fillId="0" borderId="44" xfId="1" applyNumberFormat="1" applyBorder="1" applyAlignment="1">
      <alignment horizontal="right"/>
    </xf>
    <xf numFmtId="0" fontId="3" fillId="0" borderId="44" xfId="1" applyFont="1" applyBorder="1" applyAlignment="1">
      <alignment horizontal="center"/>
    </xf>
    <xf numFmtId="0" fontId="3" fillId="0" borderId="47" xfId="1" applyFont="1" applyBorder="1" applyAlignment="1">
      <alignment horizontal="center"/>
    </xf>
    <xf numFmtId="169" fontId="3" fillId="0" borderId="0" xfId="785" applyNumberFormat="1" applyBorder="1"/>
    <xf numFmtId="0" fontId="3" fillId="0" borderId="0" xfId="785" applyFont="1" applyBorder="1" applyAlignment="1">
      <alignment horizontal="center"/>
    </xf>
    <xf numFmtId="0" fontId="0" fillId="0" borderId="19" xfId="1" applyFont="1" applyFill="1" applyBorder="1" applyAlignment="1">
      <alignment horizontal="center" vertical="center"/>
    </xf>
    <xf numFmtId="0" fontId="0" fillId="0" borderId="21" xfId="1" applyFont="1" applyFill="1" applyBorder="1" applyAlignment="1">
      <alignment horizontal="center" vertical="center"/>
    </xf>
    <xf numFmtId="0" fontId="4" fillId="24" borderId="17" xfId="1" applyFont="1" applyFill="1" applyBorder="1" applyAlignment="1"/>
    <xf numFmtId="0" fontId="4" fillId="67" borderId="96" xfId="828" applyFont="1" applyFill="1" applyBorder="1" applyAlignment="1">
      <alignment wrapText="1"/>
    </xf>
    <xf numFmtId="0" fontId="4" fillId="85" borderId="16" xfId="0" applyFont="1" applyFill="1" applyBorder="1" applyAlignment="1">
      <alignment wrapText="1"/>
    </xf>
    <xf numFmtId="0" fontId="4" fillId="85" borderId="13" xfId="0" applyFont="1" applyFill="1" applyBorder="1"/>
    <xf numFmtId="0" fontId="4" fillId="85" borderId="14" xfId="0" applyFont="1" applyFill="1" applyBorder="1" applyAlignment="1">
      <alignment wrapText="1"/>
    </xf>
    <xf numFmtId="10" fontId="8" fillId="0" borderId="0" xfId="829" applyNumberFormat="1" applyFont="1" applyFill="1" applyBorder="1" applyAlignment="1">
      <alignment horizontal="center"/>
    </xf>
    <xf numFmtId="2" fontId="8" fillId="0" borderId="0" xfId="829" applyNumberFormat="1" applyFont="1" applyFill="1" applyBorder="1" applyAlignment="1">
      <alignment horizontal="center"/>
    </xf>
    <xf numFmtId="10" fontId="8" fillId="0" borderId="15" xfId="829" applyNumberFormat="1" applyFont="1" applyFill="1" applyBorder="1" applyAlignment="1">
      <alignment horizontal="center"/>
    </xf>
    <xf numFmtId="2" fontId="8" fillId="0" borderId="15" xfId="829" applyNumberFormat="1" applyFont="1" applyFill="1" applyBorder="1" applyAlignment="1">
      <alignment horizontal="center"/>
    </xf>
    <xf numFmtId="0" fontId="2" fillId="0" borderId="0" xfId="826" applyFill="1" applyBorder="1" applyAlignment="1">
      <alignment horizontal="center"/>
    </xf>
    <xf numFmtId="0" fontId="2" fillId="0" borderId="11" xfId="826" applyFill="1" applyBorder="1" applyAlignment="1">
      <alignment horizontal="center"/>
    </xf>
    <xf numFmtId="0" fontId="0" fillId="0" borderId="0" xfId="0" applyFill="1" applyBorder="1" applyAlignment="1">
      <alignment horizontal="center"/>
    </xf>
    <xf numFmtId="0" fontId="2" fillId="0" borderId="15" xfId="826" applyFill="1" applyBorder="1" applyAlignment="1">
      <alignment horizontal="center"/>
    </xf>
    <xf numFmtId="0" fontId="2" fillId="0" borderId="23" xfId="826" applyFill="1" applyBorder="1" applyAlignment="1">
      <alignment horizontal="center"/>
    </xf>
    <xf numFmtId="0" fontId="0" fillId="0" borderId="80" xfId="0" applyBorder="1"/>
    <xf numFmtId="10" fontId="0" fillId="0" borderId="0" xfId="0" applyNumberFormat="1" applyBorder="1"/>
    <xf numFmtId="0" fontId="0" fillId="0" borderId="11" xfId="0" applyBorder="1"/>
    <xf numFmtId="165" fontId="0" fillId="0" borderId="80" xfId="0" applyNumberFormat="1" applyBorder="1"/>
    <xf numFmtId="168" fontId="0" fillId="0" borderId="0" xfId="0" applyNumberFormat="1" applyBorder="1"/>
    <xf numFmtId="2" fontId="0" fillId="0" borderId="11" xfId="0" applyNumberFormat="1" applyBorder="1"/>
    <xf numFmtId="0" fontId="0" fillId="0" borderId="22" xfId="0" applyBorder="1"/>
    <xf numFmtId="0" fontId="0" fillId="0" borderId="15" xfId="0" applyBorder="1"/>
    <xf numFmtId="0" fontId="0" fillId="0" borderId="23" xfId="0" applyBorder="1"/>
    <xf numFmtId="10" fontId="8" fillId="0" borderId="80" xfId="829" applyNumberFormat="1" applyFont="1" applyFill="1" applyBorder="1" applyAlignment="1">
      <alignment horizontal="center"/>
    </xf>
    <xf numFmtId="3" fontId="8" fillId="0" borderId="11" xfId="829" applyNumberFormat="1" applyFont="1" applyFill="1" applyBorder="1" applyAlignment="1">
      <alignment horizontal="center"/>
    </xf>
    <xf numFmtId="1" fontId="8" fillId="0" borderId="11" xfId="829" applyNumberFormat="1" applyFont="1" applyFill="1" applyBorder="1" applyAlignment="1">
      <alignment horizontal="center"/>
    </xf>
    <xf numFmtId="168" fontId="8" fillId="0" borderId="80" xfId="829" applyNumberFormat="1" applyFont="1" applyFill="1" applyBorder="1" applyAlignment="1">
      <alignment horizontal="center"/>
    </xf>
    <xf numFmtId="10" fontId="8" fillId="0" borderId="22" xfId="829" applyNumberFormat="1" applyFont="1" applyFill="1" applyBorder="1" applyAlignment="1">
      <alignment horizontal="center"/>
    </xf>
    <xf numFmtId="3" fontId="8" fillId="0" borderId="23" xfId="829" applyNumberFormat="1" applyFont="1" applyFill="1" applyBorder="1" applyAlignment="1">
      <alignment horizontal="center"/>
    </xf>
    <xf numFmtId="0" fontId="2" fillId="0" borderId="80" xfId="826" applyFill="1" applyBorder="1" applyAlignment="1">
      <alignment horizontal="center"/>
    </xf>
    <xf numFmtId="0" fontId="0" fillId="0" borderId="80" xfId="0" applyFill="1" applyBorder="1" applyAlignment="1">
      <alignment horizontal="center"/>
    </xf>
    <xf numFmtId="0" fontId="0" fillId="0" borderId="11" xfId="0" applyFill="1" applyBorder="1" applyAlignment="1">
      <alignment horizontal="center"/>
    </xf>
    <xf numFmtId="0" fontId="2" fillId="0" borderId="22" xfId="826" applyFill="1" applyBorder="1" applyAlignment="1">
      <alignment horizontal="center"/>
    </xf>
    <xf numFmtId="0" fontId="4" fillId="86" borderId="18" xfId="828" applyFont="1" applyFill="1" applyBorder="1" applyAlignment="1">
      <alignment horizontal="left"/>
    </xf>
    <xf numFmtId="0" fontId="4" fillId="86" borderId="10" xfId="828" applyFont="1" applyFill="1" applyBorder="1" applyAlignment="1">
      <alignment horizontal="left"/>
    </xf>
    <xf numFmtId="3" fontId="4" fillId="86" borderId="17" xfId="828" applyNumberFormat="1" applyFont="1" applyFill="1" applyBorder="1" applyAlignment="1">
      <alignment horizontal="left"/>
    </xf>
    <xf numFmtId="0" fontId="4" fillId="86" borderId="17" xfId="828" applyFont="1" applyFill="1" applyBorder="1" applyAlignment="1">
      <alignment horizontal="left"/>
    </xf>
    <xf numFmtId="0" fontId="4" fillId="86" borderId="80" xfId="828" applyFont="1" applyFill="1" applyBorder="1" applyAlignment="1">
      <alignment horizontal="center" wrapText="1"/>
    </xf>
    <xf numFmtId="2" fontId="4" fillId="86" borderId="0" xfId="828" applyNumberFormat="1" applyFont="1" applyFill="1" applyBorder="1" applyAlignment="1">
      <alignment horizontal="center" wrapText="1"/>
    </xf>
    <xf numFmtId="0" fontId="4" fillId="86" borderId="0" xfId="828" applyFont="1" applyFill="1" applyBorder="1" applyAlignment="1">
      <alignment horizontal="center" wrapText="1"/>
    </xf>
    <xf numFmtId="3" fontId="4" fillId="86" borderId="11" xfId="828" applyNumberFormat="1" applyFont="1" applyFill="1" applyBorder="1" applyAlignment="1">
      <alignment horizontal="center" wrapText="1"/>
    </xf>
    <xf numFmtId="0" fontId="4" fillId="86" borderId="15" xfId="828" applyFont="1" applyFill="1" applyBorder="1" applyAlignment="1">
      <alignment horizontal="center" wrapText="1"/>
    </xf>
    <xf numFmtId="10" fontId="0" fillId="0" borderId="15" xfId="0" applyNumberFormat="1" applyBorder="1"/>
    <xf numFmtId="1" fontId="0" fillId="0" borderId="0" xfId="0" applyNumberFormat="1" applyFill="1" applyBorder="1"/>
    <xf numFmtId="2" fontId="4" fillId="89" borderId="22" xfId="828" applyNumberFormat="1" applyFont="1" applyFill="1" applyBorder="1" applyAlignment="1">
      <alignment horizontal="center" wrapText="1"/>
    </xf>
    <xf numFmtId="2" fontId="4" fillId="89" borderId="15" xfId="828" applyNumberFormat="1" applyFont="1" applyFill="1" applyBorder="1" applyAlignment="1">
      <alignment horizontal="center" wrapText="1"/>
    </xf>
    <xf numFmtId="9" fontId="0" fillId="0" borderId="11" xfId="0" applyNumberFormat="1" applyBorder="1"/>
    <xf numFmtId="2" fontId="60" fillId="79" borderId="81" xfId="3656" applyNumberFormat="1" applyFont="1" applyFill="1" applyBorder="1" applyAlignment="1">
      <alignment horizontal="center"/>
    </xf>
    <xf numFmtId="2" fontId="60" fillId="79" borderId="19" xfId="3656" applyNumberFormat="1" applyFont="1" applyFill="1" applyBorder="1" applyAlignment="1">
      <alignment horizontal="center"/>
    </xf>
    <xf numFmtId="2" fontId="60" fillId="79" borderId="40" xfId="3656" applyNumberFormat="1" applyFont="1" applyFill="1" applyBorder="1" applyAlignment="1">
      <alignment horizontal="center"/>
    </xf>
    <xf numFmtId="165" fontId="60" fillId="79" borderId="19" xfId="3656" applyNumberFormat="1" applyFont="1" applyFill="1" applyBorder="1" applyAlignment="1">
      <alignment horizontal="center"/>
    </xf>
    <xf numFmtId="3" fontId="60" fillId="79" borderId="11" xfId="3656" applyNumberFormat="1" applyFont="1" applyFill="1" applyBorder="1" applyAlignment="1">
      <alignment horizontal="right"/>
    </xf>
    <xf numFmtId="3" fontId="60" fillId="79" borderId="19" xfId="3656" applyNumberFormat="1" applyFont="1" applyFill="1" applyBorder="1" applyAlignment="1">
      <alignment horizontal="right"/>
    </xf>
    <xf numFmtId="9" fontId="0" fillId="0" borderId="0" xfId="802" applyFont="1" applyBorder="1"/>
    <xf numFmtId="2" fontId="8" fillId="82" borderId="13" xfId="3656" applyNumberFormat="1" applyFont="1" applyFill="1" applyBorder="1"/>
    <xf numFmtId="3" fontId="60" fillId="79" borderId="27" xfId="3656" applyNumberFormat="1" applyFont="1" applyFill="1" applyBorder="1" applyAlignment="1">
      <alignment horizontal="right"/>
    </xf>
    <xf numFmtId="3" fontId="60" fillId="79" borderId="91" xfId="3656" applyNumberFormat="1" applyFont="1" applyFill="1" applyBorder="1" applyAlignment="1">
      <alignment horizontal="right"/>
    </xf>
    <xf numFmtId="0" fontId="4" fillId="24" borderId="60" xfId="1" applyFont="1" applyFill="1" applyBorder="1" applyAlignment="1">
      <alignment horizontal="center" vertical="center"/>
    </xf>
    <xf numFmtId="0" fontId="0" fillId="0" borderId="96" xfId="0" applyBorder="1"/>
    <xf numFmtId="14" fontId="0" fillId="0" borderId="96" xfId="0" applyNumberFormat="1" applyBorder="1"/>
    <xf numFmtId="0" fontId="0" fillId="0" borderId="60" xfId="0" applyBorder="1"/>
    <xf numFmtId="0" fontId="0" fillId="0" borderId="61" xfId="0" applyBorder="1"/>
    <xf numFmtId="0" fontId="0" fillId="0" borderId="62" xfId="0" applyBorder="1"/>
    <xf numFmtId="9" fontId="0" fillId="90" borderId="0" xfId="802" applyFont="1" applyFill="1" applyBorder="1"/>
    <xf numFmtId="9" fontId="0" fillId="90" borderId="81" xfId="802" applyFont="1" applyFill="1" applyBorder="1"/>
    <xf numFmtId="9" fontId="0" fillId="0" borderId="81" xfId="802" applyFont="1" applyBorder="1"/>
    <xf numFmtId="0" fontId="4" fillId="0" borderId="22" xfId="1" applyFont="1" applyFill="1" applyBorder="1" applyAlignment="1">
      <alignment vertical="center"/>
    </xf>
    <xf numFmtId="0" fontId="4" fillId="0" borderId="15" xfId="1" applyFont="1" applyFill="1" applyBorder="1" applyAlignment="1">
      <alignment vertical="center"/>
    </xf>
    <xf numFmtId="0" fontId="4" fillId="73" borderId="12" xfId="1" applyFont="1" applyFill="1" applyBorder="1" applyAlignment="1">
      <alignment horizontal="center"/>
    </xf>
    <xf numFmtId="0" fontId="4" fillId="73" borderId="19" xfId="1" applyFont="1" applyFill="1" applyBorder="1" applyAlignment="1">
      <alignment horizontal="center" wrapText="1"/>
    </xf>
    <xf numFmtId="9" fontId="3" fillId="62" borderId="17" xfId="1" applyNumberFormat="1" applyFont="1" applyFill="1" applyBorder="1"/>
    <xf numFmtId="0" fontId="0" fillId="72" borderId="0" xfId="0" applyFill="1"/>
    <xf numFmtId="1" fontId="4" fillId="85" borderId="10" xfId="0" applyNumberFormat="1" applyFont="1" applyFill="1" applyBorder="1" applyAlignment="1">
      <alignment horizontal="center"/>
    </xf>
    <xf numFmtId="1" fontId="4" fillId="85" borderId="0" xfId="0" applyNumberFormat="1" applyFont="1" applyFill="1" applyBorder="1" applyAlignment="1">
      <alignment wrapText="1"/>
    </xf>
    <xf numFmtId="1" fontId="0" fillId="0" borderId="0" xfId="0" applyNumberFormat="1" applyBorder="1"/>
    <xf numFmtId="1" fontId="0" fillId="0" borderId="15" xfId="0" applyNumberFormat="1" applyBorder="1"/>
    <xf numFmtId="1" fontId="0" fillId="0" borderId="61" xfId="0" applyNumberFormat="1" applyBorder="1"/>
    <xf numFmtId="0" fontId="0" fillId="0" borderId="100" xfId="0" applyBorder="1"/>
    <xf numFmtId="0" fontId="0" fillId="0" borderId="49" xfId="0" applyBorder="1"/>
    <xf numFmtId="0" fontId="0" fillId="0" borderId="98" xfId="0" applyBorder="1"/>
    <xf numFmtId="0" fontId="0" fillId="0" borderId="77" xfId="0" applyBorder="1"/>
    <xf numFmtId="1" fontId="0" fillId="0" borderId="49" xfId="0" applyNumberFormat="1" applyBorder="1"/>
    <xf numFmtId="0" fontId="0" fillId="0" borderId="62" xfId="0" applyFill="1" applyBorder="1"/>
    <xf numFmtId="10" fontId="0" fillId="0" borderId="0" xfId="0" applyNumberFormat="1"/>
    <xf numFmtId="0" fontId="0" fillId="0" borderId="81" xfId="0" applyBorder="1"/>
    <xf numFmtId="3" fontId="0" fillId="0" borderId="49" xfId="0" applyNumberFormat="1" applyBorder="1"/>
    <xf numFmtId="0" fontId="0" fillId="0" borderId="104" xfId="0" applyBorder="1"/>
    <xf numFmtId="0" fontId="0" fillId="0" borderId="105" xfId="0" applyBorder="1"/>
    <xf numFmtId="0" fontId="0" fillId="0" borderId="106" xfId="0" applyBorder="1"/>
    <xf numFmtId="0" fontId="0" fillId="0" borderId="82" xfId="0" applyBorder="1"/>
    <xf numFmtId="0" fontId="3" fillId="0" borderId="97" xfId="0" applyFont="1" applyFill="1" applyBorder="1"/>
    <xf numFmtId="3" fontId="0" fillId="0" borderId="98" xfId="0" applyNumberFormat="1" applyBorder="1"/>
    <xf numFmtId="3" fontId="0" fillId="0" borderId="81" xfId="0" applyNumberFormat="1" applyBorder="1"/>
    <xf numFmtId="3" fontId="0" fillId="0" borderId="82" xfId="0" applyNumberFormat="1" applyBorder="1"/>
    <xf numFmtId="0" fontId="0" fillId="0" borderId="86" xfId="0" applyBorder="1"/>
    <xf numFmtId="0" fontId="0" fillId="0" borderId="99" xfId="0" applyBorder="1"/>
    <xf numFmtId="3" fontId="0" fillId="0" borderId="99" xfId="0" applyNumberFormat="1" applyBorder="1"/>
    <xf numFmtId="0" fontId="0" fillId="0" borderId="0" xfId="0" quotePrefix="1" applyBorder="1"/>
    <xf numFmtId="0" fontId="0" fillId="0" borderId="81" xfId="0" quotePrefix="1" applyBorder="1"/>
    <xf numFmtId="0" fontId="0" fillId="0" borderId="105" xfId="0" quotePrefix="1" applyBorder="1"/>
    <xf numFmtId="0" fontId="0" fillId="0" borderId="0" xfId="0" quotePrefix="1" applyFill="1" applyBorder="1"/>
    <xf numFmtId="3" fontId="0" fillId="0" borderId="81" xfId="0" quotePrefix="1" applyNumberFormat="1" applyBorder="1"/>
    <xf numFmtId="9" fontId="0" fillId="0" borderId="49" xfId="802" applyNumberFormat="1" applyFont="1" applyBorder="1"/>
    <xf numFmtId="9" fontId="0" fillId="0" borderId="98" xfId="802" applyNumberFormat="1" applyFont="1" applyBorder="1"/>
    <xf numFmtId="9" fontId="0" fillId="0" borderId="49" xfId="0" applyNumberFormat="1" applyBorder="1"/>
    <xf numFmtId="9" fontId="0" fillId="0" borderId="98" xfId="0" applyNumberFormat="1" applyBorder="1"/>
    <xf numFmtId="9" fontId="0" fillId="0" borderId="0" xfId="802" applyNumberFormat="1" applyFont="1" applyBorder="1"/>
    <xf numFmtId="9" fontId="0" fillId="0" borderId="81" xfId="802" applyNumberFormat="1" applyFont="1" applyBorder="1"/>
    <xf numFmtId="9" fontId="0" fillId="0" borderId="81" xfId="0" applyNumberFormat="1" applyBorder="1"/>
    <xf numFmtId="9" fontId="0" fillId="0" borderId="15" xfId="802" applyNumberFormat="1" applyFont="1" applyBorder="1"/>
    <xf numFmtId="9" fontId="0" fillId="0" borderId="99" xfId="802" applyNumberFormat="1" applyFont="1" applyBorder="1"/>
    <xf numFmtId="9" fontId="0" fillId="0" borderId="15" xfId="0" applyNumberFormat="1" applyBorder="1"/>
    <xf numFmtId="9" fontId="0" fillId="0" borderId="99" xfId="0" applyNumberFormat="1" applyBorder="1"/>
    <xf numFmtId="9" fontId="0" fillId="0" borderId="104" xfId="802" applyNumberFormat="1" applyFont="1" applyBorder="1"/>
    <xf numFmtId="9" fontId="0" fillId="0" borderId="82" xfId="802" applyNumberFormat="1" applyFont="1" applyBorder="1"/>
    <xf numFmtId="9" fontId="0" fillId="0" borderId="104" xfId="0" applyNumberFormat="1" applyBorder="1"/>
    <xf numFmtId="9" fontId="0" fillId="0" borderId="82" xfId="0" applyNumberFormat="1" applyBorder="1"/>
    <xf numFmtId="9" fontId="49" fillId="0" borderId="0" xfId="802" applyNumberFormat="1" applyFont="1" applyBorder="1"/>
    <xf numFmtId="9" fontId="49" fillId="0" borderId="0" xfId="0" applyNumberFormat="1" applyFont="1" applyBorder="1"/>
    <xf numFmtId="9" fontId="49" fillId="0" borderId="81" xfId="0" applyNumberFormat="1" applyFont="1" applyBorder="1"/>
    <xf numFmtId="10" fontId="49" fillId="0" borderId="0" xfId="0" applyNumberFormat="1" applyFont="1"/>
    <xf numFmtId="0" fontId="2" fillId="0" borderId="19" xfId="826" applyFill="1" applyBorder="1"/>
    <xf numFmtId="0" fontId="2" fillId="0" borderId="21" xfId="826" applyFill="1" applyBorder="1"/>
    <xf numFmtId="0" fontId="0" fillId="0" borderId="85" xfId="0" applyBorder="1"/>
    <xf numFmtId="0" fontId="0" fillId="0" borderId="107" xfId="0" applyBorder="1"/>
    <xf numFmtId="3" fontId="0" fillId="0" borderId="85" xfId="0" applyNumberFormat="1" applyBorder="1"/>
    <xf numFmtId="9" fontId="0" fillId="0" borderId="10" xfId="802" applyNumberFormat="1" applyFont="1" applyBorder="1"/>
    <xf numFmtId="9" fontId="0" fillId="0" borderId="85" xfId="802" applyNumberFormat="1" applyFont="1" applyBorder="1"/>
    <xf numFmtId="9" fontId="0" fillId="0" borderId="17" xfId="0" applyNumberFormat="1" applyBorder="1"/>
    <xf numFmtId="9" fontId="0" fillId="0" borderId="23" xfId="0" applyNumberFormat="1" applyBorder="1"/>
    <xf numFmtId="3" fontId="4" fillId="0" borderId="0" xfId="1" applyNumberFormat="1" applyFont="1" applyFill="1" applyBorder="1" applyAlignment="1">
      <alignment horizontal="left"/>
    </xf>
    <xf numFmtId="0" fontId="4" fillId="24" borderId="17" xfId="1" applyFont="1" applyFill="1" applyBorder="1" applyAlignment="1">
      <alignment horizontal="left"/>
    </xf>
    <xf numFmtId="0" fontId="0" fillId="0" borderId="11" xfId="1" applyFont="1" applyFill="1" applyBorder="1" applyAlignment="1">
      <alignment horizontal="left" vertical="center"/>
    </xf>
    <xf numFmtId="0" fontId="0" fillId="0" borderId="23" xfId="1" applyFont="1" applyFill="1" applyBorder="1" applyAlignment="1">
      <alignment horizontal="left" vertical="center"/>
    </xf>
    <xf numFmtId="0" fontId="0" fillId="0" borderId="0" xfId="0" applyBorder="1" applyAlignment="1">
      <alignment horizontal="left"/>
    </xf>
    <xf numFmtId="0" fontId="0" fillId="0" borderId="77" xfId="0" applyBorder="1" applyAlignment="1">
      <alignment horizontal="left"/>
    </xf>
    <xf numFmtId="0" fontId="0" fillId="0" borderId="97" xfId="0" applyBorder="1" applyAlignment="1">
      <alignment horizontal="left"/>
    </xf>
    <xf numFmtId="0" fontId="0" fillId="0" borderId="105" xfId="0" applyBorder="1" applyAlignment="1">
      <alignment horizontal="left"/>
    </xf>
    <xf numFmtId="0" fontId="0" fillId="0" borderId="86" xfId="0" applyBorder="1" applyAlignment="1">
      <alignment horizontal="left"/>
    </xf>
    <xf numFmtId="0" fontId="3" fillId="0" borderId="29" xfId="0" applyFont="1" applyBorder="1" applyAlignment="1">
      <alignment horizontal="left"/>
    </xf>
    <xf numFmtId="0" fontId="3" fillId="0" borderId="40" xfId="0" applyFont="1" applyBorder="1" applyAlignment="1">
      <alignment horizontal="left"/>
    </xf>
    <xf numFmtId="0" fontId="3" fillId="0" borderId="33" xfId="0" applyFont="1" applyBorder="1" applyAlignment="1">
      <alignment horizontal="left"/>
    </xf>
    <xf numFmtId="0" fontId="0" fillId="0" borderId="106" xfId="0" applyBorder="1" applyAlignment="1">
      <alignment horizontal="left"/>
    </xf>
    <xf numFmtId="0" fontId="0" fillId="0" borderId="105" xfId="0" quotePrefix="1" applyFill="1" applyBorder="1" applyAlignment="1">
      <alignment horizontal="left"/>
    </xf>
    <xf numFmtId="0" fontId="0" fillId="62" borderId="19" xfId="1" applyFont="1" applyFill="1" applyBorder="1" applyAlignment="1">
      <alignment horizontal="left" vertical="center"/>
    </xf>
    <xf numFmtId="0" fontId="0" fillId="72" borderId="19" xfId="1" applyFont="1" applyFill="1" applyBorder="1" applyAlignment="1">
      <alignment horizontal="left" vertical="center"/>
    </xf>
    <xf numFmtId="0" fontId="0" fillId="62" borderId="21" xfId="1" applyFont="1" applyFill="1" applyBorder="1" applyAlignment="1">
      <alignment horizontal="left" vertical="center"/>
    </xf>
    <xf numFmtId="0" fontId="0" fillId="72" borderId="21" xfId="1" applyFont="1" applyFill="1" applyBorder="1" applyAlignment="1">
      <alignment horizontal="left" vertical="center"/>
    </xf>
    <xf numFmtId="0" fontId="3" fillId="72" borderId="19" xfId="1" applyFont="1" applyFill="1" applyBorder="1" applyAlignment="1">
      <alignment horizontal="left" vertical="center"/>
    </xf>
    <xf numFmtId="0" fontId="3" fillId="62" borderId="19" xfId="1" applyFont="1" applyFill="1" applyBorder="1" applyAlignment="1">
      <alignment horizontal="left" vertical="center"/>
    </xf>
    <xf numFmtId="0" fontId="3" fillId="0" borderId="11" xfId="1" applyFont="1" applyFill="1" applyBorder="1" applyAlignment="1">
      <alignment horizontal="left" vertical="center"/>
    </xf>
    <xf numFmtId="0" fontId="4" fillId="24" borderId="16" xfId="1" applyFont="1" applyFill="1" applyBorder="1" applyAlignment="1">
      <alignment horizontal="left" vertical="center"/>
    </xf>
    <xf numFmtId="0" fontId="4" fillId="65" borderId="20" xfId="0" applyFont="1" applyFill="1" applyBorder="1" applyAlignment="1">
      <alignment horizontal="center"/>
    </xf>
    <xf numFmtId="2" fontId="4" fillId="87" borderId="21" xfId="828" applyNumberFormat="1" applyFont="1" applyFill="1" applyBorder="1" applyAlignment="1">
      <alignment horizontal="center" wrapText="1"/>
    </xf>
    <xf numFmtId="0" fontId="62" fillId="91" borderId="96" xfId="3656" applyFont="1" applyFill="1" applyBorder="1"/>
    <xf numFmtId="0" fontId="8" fillId="92" borderId="96" xfId="3656" applyFont="1" applyFill="1" applyBorder="1"/>
    <xf numFmtId="9" fontId="60" fillId="79" borderId="91" xfId="802" applyFont="1" applyFill="1" applyBorder="1" applyAlignment="1">
      <alignment horizontal="center"/>
    </xf>
    <xf numFmtId="9" fontId="60" fillId="79" borderId="27" xfId="802" applyFont="1" applyFill="1" applyBorder="1" applyAlignment="1">
      <alignment horizontal="center"/>
    </xf>
    <xf numFmtId="10" fontId="0" fillId="62" borderId="19" xfId="802" applyNumberFormat="1" applyFont="1" applyFill="1" applyBorder="1" applyAlignment="1">
      <alignment horizontal="left" vertical="center"/>
    </xf>
    <xf numFmtId="10" fontId="0" fillId="72" borderId="19" xfId="802" applyNumberFormat="1" applyFont="1" applyFill="1" applyBorder="1" applyAlignment="1">
      <alignment horizontal="left" vertical="center"/>
    </xf>
    <xf numFmtId="10" fontId="0" fillId="62" borderId="21" xfId="802" applyNumberFormat="1" applyFont="1" applyFill="1" applyBorder="1" applyAlignment="1">
      <alignment horizontal="left" vertical="center"/>
    </xf>
    <xf numFmtId="10" fontId="0" fillId="72" borderId="21" xfId="802" applyNumberFormat="1" applyFont="1" applyFill="1" applyBorder="1" applyAlignment="1">
      <alignment horizontal="left" vertical="center"/>
    </xf>
    <xf numFmtId="10" fontId="3" fillId="72" borderId="19" xfId="802" applyNumberFormat="1" applyFont="1" applyFill="1" applyBorder="1" applyAlignment="1">
      <alignment horizontal="left" vertical="center"/>
    </xf>
    <xf numFmtId="10" fontId="3" fillId="62" borderId="19" xfId="802" applyNumberFormat="1" applyFont="1" applyFill="1" applyBorder="1" applyAlignment="1">
      <alignment horizontal="left" vertical="center"/>
    </xf>
    <xf numFmtId="0" fontId="4" fillId="73" borderId="10" xfId="0" applyFont="1" applyFill="1" applyBorder="1" applyAlignment="1"/>
    <xf numFmtId="0" fontId="4" fillId="73" borderId="17" xfId="0" applyFont="1" applyFill="1" applyBorder="1" applyAlignment="1"/>
    <xf numFmtId="2" fontId="4" fillId="93" borderId="15" xfId="828" applyNumberFormat="1" applyFont="1" applyFill="1" applyBorder="1" applyAlignment="1">
      <alignment horizontal="center" wrapText="1"/>
    </xf>
    <xf numFmtId="2" fontId="4" fillId="93" borderId="23" xfId="828" applyNumberFormat="1" applyFont="1" applyFill="1" applyBorder="1" applyAlignment="1">
      <alignment horizontal="center" wrapText="1"/>
    </xf>
    <xf numFmtId="10" fontId="0" fillId="62" borderId="11" xfId="802" applyNumberFormat="1" applyFont="1" applyFill="1" applyBorder="1" applyAlignment="1">
      <alignment horizontal="left" vertical="center"/>
    </xf>
    <xf numFmtId="10" fontId="0" fillId="72" borderId="11" xfId="802" applyNumberFormat="1" applyFont="1" applyFill="1" applyBorder="1" applyAlignment="1">
      <alignment horizontal="left" vertical="center"/>
    </xf>
    <xf numFmtId="10" fontId="0" fillId="62" borderId="23" xfId="802" applyNumberFormat="1" applyFont="1" applyFill="1" applyBorder="1" applyAlignment="1">
      <alignment horizontal="left" vertical="center"/>
    </xf>
    <xf numFmtId="10" fontId="0" fillId="72" borderId="23" xfId="802" applyNumberFormat="1" applyFont="1" applyFill="1" applyBorder="1" applyAlignment="1">
      <alignment horizontal="left" vertical="center"/>
    </xf>
    <xf numFmtId="10" fontId="3" fillId="72" borderId="11" xfId="802" applyNumberFormat="1" applyFont="1" applyFill="1" applyBorder="1" applyAlignment="1">
      <alignment horizontal="left" vertical="center"/>
    </xf>
    <xf numFmtId="10" fontId="3" fillId="62" borderId="11" xfId="802" applyNumberFormat="1" applyFont="1" applyFill="1" applyBorder="1" applyAlignment="1">
      <alignment horizontal="left" vertical="center"/>
    </xf>
    <xf numFmtId="2" fontId="4" fillId="89" borderId="99" xfId="828" applyNumberFormat="1" applyFont="1" applyFill="1" applyBorder="1" applyAlignment="1">
      <alignment horizontal="center" wrapText="1"/>
    </xf>
    <xf numFmtId="10" fontId="0" fillId="62" borderId="40" xfId="802" applyNumberFormat="1" applyFont="1" applyFill="1" applyBorder="1" applyAlignment="1">
      <alignment horizontal="left" vertical="center"/>
    </xf>
    <xf numFmtId="10" fontId="0" fillId="72" borderId="40" xfId="802" applyNumberFormat="1" applyFont="1" applyFill="1" applyBorder="1" applyAlignment="1">
      <alignment horizontal="left" vertical="center"/>
    </xf>
    <xf numFmtId="10" fontId="0" fillId="62" borderId="33" xfId="802" applyNumberFormat="1" applyFont="1" applyFill="1" applyBorder="1" applyAlignment="1">
      <alignment horizontal="left" vertical="center"/>
    </xf>
    <xf numFmtId="10" fontId="0" fillId="72" borderId="33" xfId="802" applyNumberFormat="1" applyFont="1" applyFill="1" applyBorder="1" applyAlignment="1">
      <alignment horizontal="left" vertical="center"/>
    </xf>
    <xf numFmtId="10" fontId="3" fillId="72" borderId="40" xfId="802" applyNumberFormat="1" applyFont="1" applyFill="1" applyBorder="1" applyAlignment="1">
      <alignment horizontal="left" vertical="center"/>
    </xf>
    <xf numFmtId="10" fontId="3" fillId="62" borderId="40" xfId="802" applyNumberFormat="1" applyFont="1" applyFill="1" applyBorder="1" applyAlignment="1">
      <alignment horizontal="left" vertical="center"/>
    </xf>
    <xf numFmtId="0" fontId="4" fillId="69" borderId="77" xfId="0" applyFont="1" applyFill="1" applyBorder="1" applyAlignment="1">
      <alignment vertical="center"/>
    </xf>
    <xf numFmtId="0" fontId="4" fillId="76" borderId="77" xfId="0" applyFont="1" applyFill="1" applyBorder="1" applyAlignment="1">
      <alignment vertical="center"/>
    </xf>
    <xf numFmtId="0" fontId="4" fillId="92" borderId="98" xfId="0" applyFont="1" applyFill="1" applyBorder="1" applyAlignment="1">
      <alignment vertical="center"/>
    </xf>
    <xf numFmtId="0" fontId="4" fillId="92" borderId="97" xfId="0" applyFont="1" applyFill="1" applyBorder="1" applyAlignment="1">
      <alignment vertical="center"/>
    </xf>
    <xf numFmtId="0" fontId="4" fillId="0" borderId="0" xfId="0" applyFont="1" applyBorder="1" applyAlignment="1">
      <alignment horizontal="center"/>
    </xf>
    <xf numFmtId="0" fontId="3" fillId="0" borderId="0" xfId="1" applyFont="1" applyFill="1" applyBorder="1" applyAlignment="1">
      <alignment horizontal="left"/>
    </xf>
    <xf numFmtId="0" fontId="3" fillId="0" borderId="0" xfId="0" applyFont="1" applyFill="1" applyBorder="1" applyAlignment="1"/>
    <xf numFmtId="0" fontId="3" fillId="0" borderId="0" xfId="0" applyFont="1" applyBorder="1" applyAlignment="1">
      <alignment horizontal="center"/>
    </xf>
    <xf numFmtId="0" fontId="3" fillId="0" borderId="0" xfId="1" applyFont="1" applyBorder="1" applyAlignment="1">
      <alignment horizontal="left" vertical="center"/>
    </xf>
    <xf numFmtId="0" fontId="3" fillId="0" borderId="0" xfId="1" applyFont="1" applyFill="1" applyBorder="1" applyAlignment="1">
      <alignment horizontal="left" vertical="center"/>
    </xf>
    <xf numFmtId="0" fontId="0" fillId="0" borderId="0" xfId="0" applyFont="1" applyFill="1" applyBorder="1" applyAlignment="1"/>
    <xf numFmtId="0" fontId="4" fillId="0" borderId="0" xfId="0" applyFont="1" applyBorder="1" applyAlignment="1">
      <alignment horizontal="right"/>
    </xf>
    <xf numFmtId="0" fontId="3" fillId="0" borderId="0" xfId="0" applyFont="1" applyBorder="1" applyAlignment="1">
      <alignment horizontal="left"/>
    </xf>
    <xf numFmtId="4" fontId="0" fillId="0" borderId="0" xfId="0" applyNumberFormat="1" applyBorder="1"/>
    <xf numFmtId="0" fontId="0" fillId="72" borderId="23" xfId="1" applyFont="1" applyFill="1" applyBorder="1" applyAlignment="1">
      <alignment horizontal="left" vertical="center"/>
    </xf>
    <xf numFmtId="37" fontId="0" fillId="0" borderId="0" xfId="335" applyNumberFormat="1" applyFont="1"/>
    <xf numFmtId="3" fontId="5" fillId="0" borderId="0" xfId="0" applyNumberFormat="1" applyFont="1" applyFill="1"/>
    <xf numFmtId="0" fontId="5" fillId="0" borderId="0" xfId="0" applyFont="1" applyFill="1" applyAlignment="1">
      <alignment horizontal="right"/>
    </xf>
    <xf numFmtId="0" fontId="4" fillId="0" borderId="0" xfId="0" applyFont="1" applyFill="1"/>
    <xf numFmtId="3" fontId="4" fillId="0" borderId="0" xfId="0" applyNumberFormat="1" applyFont="1" applyFill="1"/>
    <xf numFmtId="0" fontId="3" fillId="0" borderId="0" xfId="0" applyFont="1" applyFill="1"/>
    <xf numFmtId="0" fontId="31" fillId="0" borderId="0" xfId="0" applyFont="1" applyFill="1" applyAlignment="1">
      <alignment horizontal="right"/>
    </xf>
    <xf numFmtId="0" fontId="31" fillId="0" borderId="0" xfId="0" applyFont="1" applyFill="1"/>
    <xf numFmtId="3" fontId="31" fillId="0" borderId="0" xfId="0" applyNumberFormat="1" applyFont="1" applyFill="1"/>
    <xf numFmtId="0" fontId="3" fillId="0" borderId="0" xfId="0" applyFont="1" applyAlignment="1">
      <alignment horizontal="right"/>
    </xf>
    <xf numFmtId="3" fontId="31" fillId="0" borderId="0" xfId="0" applyNumberFormat="1" applyFont="1"/>
    <xf numFmtId="3" fontId="3" fillId="0" borderId="0" xfId="0" applyNumberFormat="1" applyFont="1"/>
    <xf numFmtId="3" fontId="3" fillId="0" borderId="0" xfId="0" applyNumberFormat="1" applyFont="1" applyFill="1" applyAlignment="1">
      <alignment horizontal="right"/>
    </xf>
    <xf numFmtId="0" fontId="29" fillId="0" borderId="0" xfId="0" applyFont="1" applyAlignment="1">
      <alignment horizontal="right"/>
    </xf>
    <xf numFmtId="3" fontId="29" fillId="0" borderId="0" xfId="0" applyNumberFormat="1" applyFont="1" applyFill="1"/>
    <xf numFmtId="3" fontId="3" fillId="0" borderId="0" xfId="0" applyNumberFormat="1" applyFont="1" applyFill="1" applyAlignment="1">
      <alignment horizontal="left"/>
    </xf>
    <xf numFmtId="0" fontId="3" fillId="0" borderId="0" xfId="0" applyFont="1" applyFill="1" applyAlignment="1">
      <alignment horizontal="left"/>
    </xf>
    <xf numFmtId="0" fontId="3" fillId="0" borderId="0" xfId="0" applyFont="1" applyAlignment="1">
      <alignment horizontal="left"/>
    </xf>
    <xf numFmtId="3" fontId="3" fillId="0" borderId="0" xfId="0" applyNumberFormat="1" applyFont="1" applyFill="1" applyAlignment="1"/>
    <xf numFmtId="3" fontId="3" fillId="0" borderId="0" xfId="0" applyNumberFormat="1" applyFont="1" applyAlignment="1"/>
    <xf numFmtId="0" fontId="3" fillId="0" borderId="0" xfId="0" applyFont="1" applyFill="1" applyAlignment="1"/>
    <xf numFmtId="10" fontId="0" fillId="0" borderId="0" xfId="802" applyNumberFormat="1" applyFont="1" applyFill="1"/>
    <xf numFmtId="10" fontId="31" fillId="0" borderId="0" xfId="802" applyNumberFormat="1" applyFont="1" applyFill="1"/>
    <xf numFmtId="10" fontId="31" fillId="0" borderId="0" xfId="802" applyNumberFormat="1" applyFont="1" applyFill="1" applyBorder="1"/>
    <xf numFmtId="10" fontId="4" fillId="0" borderId="0" xfId="802" applyNumberFormat="1" applyFont="1" applyFill="1"/>
    <xf numFmtId="10" fontId="5" fillId="0" borderId="0" xfId="802" applyNumberFormat="1" applyFont="1" applyFill="1"/>
    <xf numFmtId="10" fontId="29" fillId="0" borderId="0" xfId="802" applyNumberFormat="1" applyFont="1" applyFill="1"/>
    <xf numFmtId="10" fontId="0" fillId="0" borderId="0" xfId="802" applyNumberFormat="1" applyFont="1"/>
    <xf numFmtId="9" fontId="0" fillId="0" borderId="0" xfId="802" applyFont="1" applyFill="1"/>
    <xf numFmtId="0" fontId="65" fillId="0" borderId="0" xfId="0" applyFont="1" applyFill="1" applyBorder="1" applyAlignment="1">
      <alignment horizontal="center" wrapText="1" readingOrder="1"/>
    </xf>
    <xf numFmtId="0" fontId="66" fillId="0" borderId="0" xfId="0" applyFont="1" applyFill="1" applyBorder="1" applyAlignment="1">
      <alignment horizontal="center" wrapText="1" readingOrder="1"/>
    </xf>
    <xf numFmtId="9" fontId="3" fillId="0" borderId="0" xfId="802" applyFont="1" applyFill="1" applyBorder="1"/>
    <xf numFmtId="0" fontId="67" fillId="0" borderId="0" xfId="0" applyFont="1" applyFill="1" applyBorder="1" applyAlignment="1">
      <alignment horizontal="center" wrapText="1" readingOrder="1"/>
    </xf>
    <xf numFmtId="0" fontId="68" fillId="0" borderId="0" xfId="0" applyFont="1" applyFill="1" applyBorder="1" applyAlignment="1">
      <alignment horizontal="center" wrapText="1" readingOrder="1"/>
    </xf>
    <xf numFmtId="0" fontId="68" fillId="0" borderId="0" xfId="0" applyFont="1" applyFill="1" applyBorder="1" applyAlignment="1">
      <alignment horizontal="center" wrapText="1"/>
    </xf>
    <xf numFmtId="0" fontId="0" fillId="0" borderId="60" xfId="0" applyBorder="1" applyAlignment="1">
      <alignment horizontal="center"/>
    </xf>
    <xf numFmtId="9" fontId="0" fillId="0" borderId="0" xfId="0" applyNumberFormat="1" applyFill="1" applyBorder="1"/>
    <xf numFmtId="9" fontId="0" fillId="0" borderId="0" xfId="802" applyFont="1" applyFill="1" applyBorder="1"/>
    <xf numFmtId="0" fontId="0" fillId="0" borderId="79" xfId="0" applyBorder="1"/>
    <xf numFmtId="9" fontId="0" fillId="0" borderId="60" xfId="0" applyNumberFormat="1" applyBorder="1"/>
    <xf numFmtId="9" fontId="0" fillId="0" borderId="61" xfId="0" applyNumberFormat="1" applyBorder="1"/>
    <xf numFmtId="9" fontId="0" fillId="0" borderId="62" xfId="0" applyNumberFormat="1" applyBorder="1"/>
    <xf numFmtId="9" fontId="0" fillId="90" borderId="0" xfId="802" applyNumberFormat="1" applyFont="1" applyFill="1" applyBorder="1"/>
    <xf numFmtId="9" fontId="0" fillId="90" borderId="81" xfId="802" applyNumberFormat="1" applyFont="1" applyFill="1" applyBorder="1"/>
    <xf numFmtId="0" fontId="0" fillId="0" borderId="105" xfId="0" applyFill="1" applyBorder="1" applyAlignment="1">
      <alignment horizontal="center"/>
    </xf>
    <xf numFmtId="9" fontId="0" fillId="0" borderId="81" xfId="0" applyNumberFormat="1" applyFill="1" applyBorder="1"/>
    <xf numFmtId="16" fontId="0" fillId="0" borderId="105" xfId="0" applyNumberFormat="1" applyFill="1" applyBorder="1" applyAlignment="1">
      <alignment horizontal="center"/>
    </xf>
    <xf numFmtId="9" fontId="0" fillId="90" borderId="104" xfId="802" applyNumberFormat="1" applyFont="1" applyFill="1" applyBorder="1"/>
    <xf numFmtId="9" fontId="0" fillId="90" borderId="82" xfId="802" applyNumberFormat="1" applyFont="1" applyFill="1" applyBorder="1"/>
    <xf numFmtId="9" fontId="0" fillId="0" borderId="81" xfId="802" applyFont="1" applyFill="1" applyBorder="1"/>
    <xf numFmtId="9" fontId="0" fillId="0" borderId="78" xfId="802" applyFont="1" applyBorder="1"/>
    <xf numFmtId="0" fontId="0" fillId="90" borderId="105" xfId="0" applyFill="1" applyBorder="1" applyAlignment="1">
      <alignment horizontal="center"/>
    </xf>
    <xf numFmtId="9" fontId="0" fillId="90" borderId="0" xfId="0" applyNumberFormat="1" applyFill="1" applyBorder="1"/>
    <xf numFmtId="9" fontId="0" fillId="90" borderId="81" xfId="0" applyNumberFormat="1" applyFill="1" applyBorder="1"/>
    <xf numFmtId="0" fontId="0" fillId="0" borderId="61" xfId="0" applyBorder="1" applyAlignment="1">
      <alignment horizontal="center"/>
    </xf>
    <xf numFmtId="0" fontId="0" fillId="0" borderId="0" xfId="0" applyNumberFormat="1" applyFill="1" applyBorder="1" applyAlignment="1">
      <alignment horizontal="center"/>
    </xf>
    <xf numFmtId="0" fontId="0" fillId="0" borderId="0" xfId="0" applyNumberFormat="1" applyFill="1" applyBorder="1" applyAlignment="1">
      <alignment horizontal="left"/>
    </xf>
    <xf numFmtId="2" fontId="0" fillId="0" borderId="0" xfId="0" applyNumberFormat="1" applyFill="1" applyBorder="1" applyAlignment="1">
      <alignment horizontal="center"/>
    </xf>
    <xf numFmtId="43" fontId="0" fillId="0" borderId="0" xfId="335" applyFont="1" applyFill="1" applyBorder="1" applyAlignment="1">
      <alignment horizontal="center"/>
    </xf>
    <xf numFmtId="0" fontId="71" fillId="0" borderId="60" xfId="0" applyNumberFormat="1" applyFont="1" applyFill="1" applyBorder="1" applyAlignment="1">
      <alignment horizontal="centerContinuous" wrapText="1"/>
    </xf>
    <xf numFmtId="0" fontId="71" fillId="0" borderId="61" xfId="0" applyNumberFormat="1" applyFont="1" applyFill="1" applyBorder="1" applyAlignment="1">
      <alignment horizontal="centerContinuous" wrapText="1"/>
    </xf>
    <xf numFmtId="0" fontId="71" fillId="0" borderId="62" xfId="0" applyNumberFormat="1" applyFont="1" applyFill="1" applyBorder="1" applyAlignment="1">
      <alignment horizontal="centerContinuous" wrapText="1"/>
    </xf>
    <xf numFmtId="0" fontId="71" fillId="0" borderId="77" xfId="0" applyNumberFormat="1" applyFont="1" applyFill="1" applyBorder="1" applyAlignment="1">
      <alignment horizontal="centerContinuous" wrapText="1"/>
    </xf>
    <xf numFmtId="0" fontId="0" fillId="0" borderId="61" xfId="0" applyBorder="1" applyAlignment="1"/>
    <xf numFmtId="0" fontId="0" fillId="0" borderId="62" xfId="0" applyBorder="1" applyAlignment="1"/>
    <xf numFmtId="9" fontId="0" fillId="0" borderId="60" xfId="0" applyNumberFormat="1" applyFill="1" applyBorder="1"/>
    <xf numFmtId="9" fontId="0" fillId="0" borderId="61" xfId="0" applyNumberFormat="1" applyBorder="1" applyAlignment="1">
      <alignment horizontal="center"/>
    </xf>
    <xf numFmtId="9" fontId="0" fillId="0" borderId="61" xfId="0" applyNumberFormat="1" applyBorder="1" applyAlignment="1"/>
    <xf numFmtId="9" fontId="0" fillId="0" borderId="62" xfId="0" applyNumberFormat="1" applyBorder="1" applyAlignment="1"/>
    <xf numFmtId="0" fontId="27" fillId="0" borderId="60" xfId="0" applyNumberFormat="1" applyFont="1" applyFill="1" applyBorder="1" applyAlignment="1">
      <alignment horizontal="center" vertical="center" wrapText="1"/>
    </xf>
    <xf numFmtId="0" fontId="27" fillId="0" borderId="61" xfId="0" applyNumberFormat="1" applyFont="1" applyFill="1" applyBorder="1" applyAlignment="1">
      <alignment horizontal="center" vertical="center" wrapText="1"/>
    </xf>
    <xf numFmtId="0" fontId="58" fillId="0" borderId="62" xfId="0" applyNumberFormat="1" applyFont="1" applyFill="1" applyBorder="1" applyAlignment="1">
      <alignment horizontal="center" vertical="center" wrapText="1"/>
    </xf>
    <xf numFmtId="0" fontId="72" fillId="94" borderId="77" xfId="0" applyNumberFormat="1" applyFont="1" applyFill="1" applyBorder="1" applyAlignment="1">
      <alignment horizontal="center" vertical="center" wrapText="1"/>
    </xf>
    <xf numFmtId="0" fontId="72" fillId="94" borderId="60" xfId="0" applyNumberFormat="1" applyFont="1" applyFill="1" applyBorder="1" applyAlignment="1">
      <alignment horizontal="center" vertical="center" wrapText="1"/>
    </xf>
    <xf numFmtId="0" fontId="27" fillId="83" borderId="60" xfId="0" applyNumberFormat="1" applyFont="1" applyFill="1" applyBorder="1" applyAlignment="1">
      <alignment horizontal="center" vertical="center" wrapText="1"/>
    </xf>
    <xf numFmtId="0" fontId="27" fillId="83" borderId="61" xfId="0" applyNumberFormat="1" applyFont="1" applyFill="1" applyBorder="1" applyAlignment="1">
      <alignment horizontal="center" vertical="center" wrapText="1"/>
    </xf>
    <xf numFmtId="0" fontId="27" fillId="83" borderId="62" xfId="0" applyNumberFormat="1" applyFont="1" applyFill="1" applyBorder="1" applyAlignment="1">
      <alignment horizontal="center" vertical="center" wrapText="1"/>
    </xf>
    <xf numFmtId="0" fontId="58" fillId="94" borderId="60" xfId="3652" applyNumberFormat="1" applyFont="1" applyFill="1" applyBorder="1" applyAlignment="1">
      <alignment horizontal="center" vertical="center" wrapText="1"/>
    </xf>
    <xf numFmtId="0" fontId="58" fillId="94" borderId="61" xfId="3652" applyNumberFormat="1" applyFont="1" applyFill="1" applyBorder="1" applyAlignment="1">
      <alignment horizontal="center" vertical="center" wrapText="1"/>
    </xf>
    <xf numFmtId="0" fontId="58" fillId="94" borderId="62" xfId="3652" applyNumberFormat="1" applyFont="1" applyFill="1" applyBorder="1" applyAlignment="1">
      <alignment horizontal="center" vertical="center" wrapText="1"/>
    </xf>
    <xf numFmtId="0" fontId="73" fillId="94" borderId="77" xfId="3652" applyNumberFormat="1" applyFont="1" applyFill="1" applyBorder="1" applyAlignment="1">
      <alignment horizontal="center" vertical="center" wrapText="1"/>
    </xf>
    <xf numFmtId="0" fontId="51" fillId="0" borderId="79" xfId="0" applyNumberFormat="1" applyFont="1" applyFill="1" applyBorder="1" applyAlignment="1">
      <alignment horizontal="center" vertical="center" wrapText="1"/>
    </xf>
    <xf numFmtId="0" fontId="51" fillId="0" borderId="104" xfId="0" applyNumberFormat="1" applyFont="1" applyFill="1" applyBorder="1" applyAlignment="1">
      <alignment horizontal="center" vertical="center" wrapText="1"/>
    </xf>
    <xf numFmtId="0" fontId="51" fillId="0" borderId="82" xfId="0" applyNumberFormat="1" applyFont="1" applyFill="1" applyBorder="1" applyAlignment="1">
      <alignment horizontal="center" vertical="center"/>
    </xf>
    <xf numFmtId="0" fontId="0" fillId="0" borderId="82" xfId="0" applyFill="1" applyBorder="1"/>
    <xf numFmtId="0" fontId="0" fillId="0" borderId="78" xfId="0" applyNumberFormat="1" applyFill="1" applyBorder="1" applyAlignment="1">
      <alignment horizontal="center"/>
    </xf>
    <xf numFmtId="165" fontId="74" fillId="0" borderId="0" xfId="0" applyNumberFormat="1" applyFont="1" applyFill="1" applyBorder="1" applyAlignment="1">
      <alignment horizontal="left"/>
    </xf>
    <xf numFmtId="0" fontId="0" fillId="0" borderId="81" xfId="0" applyFill="1" applyBorder="1" applyAlignment="1">
      <alignment horizontal="left"/>
    </xf>
    <xf numFmtId="0" fontId="74" fillId="0" borderId="105" xfId="0" applyFont="1" applyFill="1" applyBorder="1" applyAlignment="1">
      <alignment horizontal="center"/>
    </xf>
    <xf numFmtId="0" fontId="74" fillId="0" borderId="78" xfId="0" applyFont="1" applyFill="1" applyBorder="1" applyAlignment="1">
      <alignment horizontal="center"/>
    </xf>
    <xf numFmtId="2" fontId="0" fillId="83" borderId="100" xfId="0" applyNumberFormat="1" applyFill="1" applyBorder="1" applyAlignment="1">
      <alignment horizontal="center"/>
    </xf>
    <xf numFmtId="2" fontId="0" fillId="83" borderId="49" xfId="0" applyNumberFormat="1" applyFill="1" applyBorder="1" applyAlignment="1">
      <alignment horizontal="center"/>
    </xf>
    <xf numFmtId="2" fontId="0" fillId="83" borderId="98" xfId="0" applyNumberFormat="1" applyFill="1" applyBorder="1" applyAlignment="1">
      <alignment horizontal="center"/>
    </xf>
    <xf numFmtId="2" fontId="75" fillId="0" borderId="0" xfId="0" applyNumberFormat="1" applyFont="1" applyFill="1" applyBorder="1" applyAlignment="1">
      <alignment horizontal="center"/>
    </xf>
    <xf numFmtId="2" fontId="76" fillId="0" borderId="105" xfId="0" applyNumberFormat="1" applyFont="1" applyFill="1" applyBorder="1" applyAlignment="1">
      <alignment horizontal="center"/>
    </xf>
    <xf numFmtId="2" fontId="0" fillId="0" borderId="98" xfId="0" applyNumberFormat="1" applyFill="1" applyBorder="1" applyAlignment="1">
      <alignment horizontal="center"/>
    </xf>
    <xf numFmtId="0" fontId="0" fillId="0" borderId="98" xfId="0" applyFill="1" applyBorder="1" applyAlignment="1">
      <alignment horizontal="center"/>
    </xf>
    <xf numFmtId="0" fontId="0" fillId="90" borderId="0" xfId="1" applyFont="1" applyFill="1" applyBorder="1" applyAlignment="1">
      <alignment horizontal="center" vertical="center"/>
    </xf>
    <xf numFmtId="9" fontId="0" fillId="90" borderId="97" xfId="802" applyFont="1" applyFill="1" applyBorder="1"/>
    <xf numFmtId="9" fontId="0" fillId="90" borderId="98" xfId="802" applyFont="1" applyFill="1" applyBorder="1"/>
    <xf numFmtId="9" fontId="0" fillId="90" borderId="78" xfId="802" applyFont="1" applyFill="1" applyBorder="1"/>
    <xf numFmtId="2" fontId="0" fillId="83" borderId="78" xfId="0" applyNumberFormat="1" applyFill="1" applyBorder="1" applyAlignment="1">
      <alignment horizontal="center"/>
    </xf>
    <xf numFmtId="2" fontId="0" fillId="83" borderId="0" xfId="0" applyNumberFormat="1" applyFill="1" applyBorder="1" applyAlignment="1">
      <alignment horizontal="center"/>
    </xf>
    <xf numFmtId="2" fontId="0" fillId="83" borderId="81" xfId="0" applyNumberFormat="1" applyFill="1" applyBorder="1" applyAlignment="1">
      <alignment horizontal="center"/>
    </xf>
    <xf numFmtId="2" fontId="0" fillId="0" borderId="81" xfId="0" applyNumberFormat="1" applyFill="1" applyBorder="1" applyAlignment="1">
      <alignment horizontal="center"/>
    </xf>
    <xf numFmtId="0" fontId="0" fillId="0" borderId="81" xfId="0" applyFill="1" applyBorder="1" applyAlignment="1">
      <alignment horizontal="center"/>
    </xf>
    <xf numFmtId="9" fontId="0" fillId="90" borderId="105" xfId="802" applyFont="1" applyFill="1" applyBorder="1"/>
    <xf numFmtId="0" fontId="0" fillId="0" borderId="105" xfId="0" quotePrefix="1" applyFill="1" applyBorder="1" applyAlignment="1">
      <alignment horizontal="center"/>
    </xf>
    <xf numFmtId="9" fontId="0" fillId="0" borderId="105" xfId="802" applyFont="1" applyBorder="1"/>
    <xf numFmtId="49" fontId="77" fillId="0" borderId="78" xfId="3654" applyNumberFormat="1" applyFont="1" applyFill="1" applyBorder="1" applyAlignment="1">
      <alignment horizontal="center"/>
    </xf>
    <xf numFmtId="165" fontId="78" fillId="0" borderId="0" xfId="0" applyNumberFormat="1" applyFont="1" applyFill="1" applyBorder="1" applyAlignment="1">
      <alignment horizontal="left"/>
    </xf>
    <xf numFmtId="0" fontId="79" fillId="0" borderId="81" xfId="0" applyFont="1" applyFill="1" applyBorder="1" applyAlignment="1">
      <alignment horizontal="left"/>
    </xf>
    <xf numFmtId="0" fontId="78" fillId="0" borderId="105" xfId="0" applyFont="1" applyFill="1" applyBorder="1" applyAlignment="1">
      <alignment horizontal="center"/>
    </xf>
    <xf numFmtId="0" fontId="78" fillId="0" borderId="78" xfId="0" applyFont="1" applyFill="1" applyBorder="1" applyAlignment="1">
      <alignment horizontal="center"/>
    </xf>
    <xf numFmtId="2" fontId="78" fillId="83" borderId="78" xfId="0" applyNumberFormat="1" applyFont="1" applyFill="1" applyBorder="1" applyAlignment="1">
      <alignment horizontal="center"/>
    </xf>
    <xf numFmtId="2" fontId="78" fillId="83" borderId="0" xfId="0" applyNumberFormat="1" applyFont="1" applyFill="1" applyBorder="1" applyAlignment="1">
      <alignment horizontal="center"/>
    </xf>
    <xf numFmtId="49" fontId="74" fillId="0" borderId="78" xfId="0" applyNumberFormat="1" applyFont="1" applyFill="1" applyBorder="1" applyAlignment="1">
      <alignment horizontal="center"/>
    </xf>
    <xf numFmtId="2" fontId="74" fillId="83" borderId="78" xfId="0" applyNumberFormat="1" applyFont="1" applyFill="1" applyBorder="1" applyAlignment="1">
      <alignment horizontal="center"/>
    </xf>
    <xf numFmtId="2" fontId="74" fillId="83" borderId="0" xfId="0" applyNumberFormat="1" applyFont="1" applyFill="1" applyBorder="1" applyAlignment="1">
      <alignment horizontal="center"/>
    </xf>
    <xf numFmtId="0" fontId="74" fillId="0" borderId="0" xfId="0" applyFont="1" applyFill="1" applyBorder="1" applyAlignment="1">
      <alignment horizontal="center"/>
    </xf>
    <xf numFmtId="0" fontId="0" fillId="0" borderId="78" xfId="0" applyFill="1" applyBorder="1" applyAlignment="1">
      <alignment horizontal="center"/>
    </xf>
    <xf numFmtId="0" fontId="0" fillId="0" borderId="0" xfId="0" applyFill="1" applyBorder="1" applyAlignment="1">
      <alignment horizontal="left"/>
    </xf>
    <xf numFmtId="49" fontId="75" fillId="0" borderId="78" xfId="3654" applyNumberFormat="1" applyFont="1" applyFill="1" applyBorder="1" applyAlignment="1">
      <alignment horizontal="center"/>
    </xf>
    <xf numFmtId="0" fontId="75" fillId="0" borderId="81" xfId="3654" applyFont="1" applyFill="1" applyBorder="1" applyAlignment="1">
      <alignment horizontal="left"/>
    </xf>
    <xf numFmtId="0" fontId="74" fillId="0" borderId="78" xfId="0" applyNumberFormat="1" applyFont="1" applyFill="1" applyBorder="1" applyAlignment="1">
      <alignment horizontal="center"/>
    </xf>
    <xf numFmtId="0" fontId="74" fillId="0" borderId="0" xfId="0" applyNumberFormat="1" applyFont="1" applyFill="1" applyBorder="1" applyAlignment="1">
      <alignment horizontal="left"/>
    </xf>
    <xf numFmtId="0" fontId="74" fillId="0" borderId="81" xfId="0" applyNumberFormat="1" applyFont="1" applyFill="1" applyBorder="1" applyAlignment="1">
      <alignment horizontal="left"/>
    </xf>
    <xf numFmtId="0" fontId="74" fillId="0" borderId="105" xfId="0" applyNumberFormat="1" applyFont="1" applyFill="1" applyBorder="1" applyAlignment="1">
      <alignment horizontal="center"/>
    </xf>
    <xf numFmtId="0" fontId="74" fillId="0" borderId="0" xfId="0" applyNumberFormat="1" applyFont="1" applyFill="1" applyBorder="1" applyAlignment="1">
      <alignment horizontal="center"/>
    </xf>
    <xf numFmtId="0" fontId="75" fillId="0" borderId="81" xfId="3652" applyFont="1" applyFill="1" applyBorder="1" applyAlignment="1">
      <alignment horizontal="left"/>
    </xf>
    <xf numFmtId="9" fontId="0" fillId="0" borderId="105" xfId="802" applyFont="1" applyFill="1" applyBorder="1"/>
    <xf numFmtId="9" fontId="0" fillId="0" borderId="78" xfId="802" applyFont="1" applyFill="1" applyBorder="1"/>
    <xf numFmtId="9" fontId="0" fillId="0" borderId="0" xfId="802" applyNumberFormat="1" applyFont="1" applyFill="1" applyBorder="1"/>
    <xf numFmtId="9" fontId="0" fillId="0" borderId="81" xfId="802" applyNumberFormat="1" applyFont="1" applyFill="1" applyBorder="1"/>
    <xf numFmtId="0" fontId="75" fillId="0" borderId="81" xfId="3652" applyNumberFormat="1" applyFont="1" applyFill="1" applyBorder="1" applyAlignment="1">
      <alignment horizontal="left"/>
    </xf>
    <xf numFmtId="0" fontId="0" fillId="0" borderId="81" xfId="0" quotePrefix="1" applyFill="1" applyBorder="1" applyAlignment="1">
      <alignment horizontal="left"/>
    </xf>
    <xf numFmtId="0" fontId="74" fillId="0" borderId="81" xfId="0" quotePrefix="1" applyNumberFormat="1" applyFont="1" applyFill="1" applyBorder="1" applyAlignment="1">
      <alignment horizontal="left"/>
    </xf>
    <xf numFmtId="165" fontId="0" fillId="0" borderId="81" xfId="0" applyNumberFormat="1" applyFill="1" applyBorder="1" applyAlignment="1">
      <alignment horizontal="left"/>
    </xf>
    <xf numFmtId="165" fontId="0" fillId="0" borderId="81" xfId="0" quotePrefix="1" applyNumberFormat="1" applyFill="1" applyBorder="1" applyAlignment="1">
      <alignment horizontal="left"/>
    </xf>
    <xf numFmtId="0" fontId="75" fillId="0" borderId="81" xfId="2350" applyFont="1" applyFill="1" applyBorder="1" applyAlignment="1">
      <alignment horizontal="left"/>
    </xf>
    <xf numFmtId="1" fontId="0" fillId="0" borderId="81" xfId="0" applyNumberFormat="1" applyFill="1" applyBorder="1" applyAlignment="1">
      <alignment horizontal="left"/>
    </xf>
    <xf numFmtId="0" fontId="0" fillId="0" borderId="104" xfId="0" quotePrefix="1" applyBorder="1" applyAlignment="1">
      <alignment horizontal="center"/>
    </xf>
    <xf numFmtId="0" fontId="74" fillId="0" borderId="81" xfId="0" applyFont="1" applyFill="1" applyBorder="1" applyAlignment="1">
      <alignment horizontal="left"/>
    </xf>
    <xf numFmtId="164" fontId="51" fillId="0" borderId="60" xfId="335" applyNumberFormat="1" applyFont="1" applyFill="1" applyBorder="1" applyAlignment="1"/>
    <xf numFmtId="164" fontId="51" fillId="0" borderId="61" xfId="335" applyNumberFormat="1" applyFont="1" applyFill="1" applyBorder="1" applyAlignment="1"/>
    <xf numFmtId="164" fontId="51" fillId="0" borderId="62" xfId="335" applyNumberFormat="1" applyFont="1" applyFill="1" applyBorder="1" applyAlignment="1"/>
    <xf numFmtId="0" fontId="51" fillId="0" borderId="60" xfId="0" applyFont="1" applyBorder="1" applyAlignment="1"/>
    <xf numFmtId="0" fontId="51" fillId="0" borderId="61" xfId="0" applyFont="1" applyBorder="1" applyAlignment="1"/>
    <xf numFmtId="9" fontId="51" fillId="0" borderId="62" xfId="0" applyNumberFormat="1" applyFont="1" applyBorder="1" applyAlignment="1"/>
    <xf numFmtId="0" fontId="0" fillId="0" borderId="77" xfId="0" applyNumberFormat="1" applyFill="1" applyBorder="1" applyAlignment="1">
      <alignment horizontal="center"/>
    </xf>
    <xf numFmtId="0" fontId="75" fillId="0" borderId="77" xfId="0" applyNumberFormat="1" applyFont="1" applyFill="1" applyBorder="1" applyAlignment="1">
      <alignment horizontal="left" wrapText="1"/>
    </xf>
    <xf numFmtId="0" fontId="0" fillId="0" borderId="77" xfId="0" applyNumberFormat="1" applyFill="1" applyBorder="1" applyAlignment="1">
      <alignment horizontal="left"/>
    </xf>
    <xf numFmtId="164" fontId="80" fillId="0" borderId="60" xfId="335" applyNumberFormat="1" applyFont="1" applyFill="1" applyBorder="1" applyAlignment="1">
      <alignment horizontal="left"/>
    </xf>
    <xf numFmtId="164" fontId="80" fillId="0" borderId="61" xfId="335" applyNumberFormat="1" applyFont="1" applyFill="1" applyBorder="1" applyAlignment="1">
      <alignment horizontal="left"/>
    </xf>
    <xf numFmtId="0" fontId="80" fillId="0" borderId="62" xfId="0" applyNumberFormat="1" applyFont="1" applyFill="1" applyBorder="1" applyAlignment="1">
      <alignment horizontal="center"/>
    </xf>
    <xf numFmtId="0" fontId="80" fillId="0" borderId="60" xfId="0" applyFont="1" applyBorder="1"/>
    <xf numFmtId="0" fontId="80" fillId="0" borderId="61" xfId="0" applyFont="1" applyBorder="1"/>
    <xf numFmtId="9" fontId="80" fillId="0" borderId="62" xfId="0" applyNumberFormat="1" applyFont="1" applyBorder="1"/>
    <xf numFmtId="0" fontId="75" fillId="0" borderId="97" xfId="0" applyNumberFormat="1" applyFont="1" applyFill="1" applyBorder="1" applyAlignment="1">
      <alignment horizontal="right"/>
    </xf>
    <xf numFmtId="0" fontId="75" fillId="0" borderId="81" xfId="0" applyNumberFormat="1" applyFont="1" applyFill="1" applyBorder="1" applyAlignment="1">
      <alignment horizontal="center"/>
    </xf>
    <xf numFmtId="0" fontId="0" fillId="0" borderId="105" xfId="0" applyNumberFormat="1" applyFill="1" applyBorder="1" applyAlignment="1">
      <alignment horizontal="center"/>
    </xf>
    <xf numFmtId="164" fontId="75" fillId="0" borderId="0" xfId="335" applyNumberFormat="1" applyFont="1" applyFill="1" applyBorder="1" applyAlignment="1">
      <alignment horizontal="left"/>
    </xf>
    <xf numFmtId="10" fontId="75" fillId="0" borderId="78" xfId="802" applyNumberFormat="1" applyFont="1" applyFill="1" applyBorder="1" applyAlignment="1">
      <alignment horizontal="center"/>
    </xf>
    <xf numFmtId="10" fontId="75" fillId="0" borderId="49" xfId="802" applyNumberFormat="1" applyFont="1" applyFill="1" applyBorder="1" applyAlignment="1">
      <alignment horizontal="center"/>
    </xf>
    <xf numFmtId="9" fontId="75" fillId="0" borderId="98" xfId="802" applyNumberFormat="1" applyFont="1" applyFill="1" applyBorder="1" applyAlignment="1">
      <alignment horizontal="center"/>
    </xf>
    <xf numFmtId="0" fontId="75" fillId="0" borderId="105" xfId="0" applyNumberFormat="1" applyFont="1" applyFill="1" applyBorder="1" applyAlignment="1">
      <alignment horizontal="right"/>
    </xf>
    <xf numFmtId="10" fontId="75" fillId="0" borderId="0" xfId="802" applyNumberFormat="1" applyFont="1" applyFill="1" applyBorder="1" applyAlignment="1">
      <alignment horizontal="center"/>
    </xf>
    <xf numFmtId="9" fontId="75" fillId="0" borderId="81" xfId="802" applyNumberFormat="1" applyFont="1" applyFill="1" applyBorder="1" applyAlignment="1">
      <alignment horizontal="center"/>
    </xf>
    <xf numFmtId="10" fontId="69" fillId="0" borderId="78" xfId="802" applyNumberFormat="1" applyFont="1" applyFill="1" applyBorder="1" applyAlignment="1">
      <alignment horizontal="center"/>
    </xf>
    <xf numFmtId="10" fontId="69" fillId="0" borderId="0" xfId="802" applyNumberFormat="1" applyFont="1" applyFill="1" applyBorder="1" applyAlignment="1">
      <alignment horizontal="center"/>
    </xf>
    <xf numFmtId="0" fontId="75" fillId="0" borderId="106" xfId="0" applyNumberFormat="1" applyFont="1" applyFill="1" applyBorder="1" applyAlignment="1">
      <alignment horizontal="right"/>
    </xf>
    <xf numFmtId="0" fontId="75" fillId="0" borderId="82" xfId="0" applyNumberFormat="1" applyFont="1" applyFill="1" applyBorder="1" applyAlignment="1">
      <alignment horizontal="center"/>
    </xf>
    <xf numFmtId="0" fontId="0" fillId="0" borderId="106" xfId="0" applyNumberFormat="1" applyFill="1" applyBorder="1" applyAlignment="1">
      <alignment horizontal="center"/>
    </xf>
    <xf numFmtId="9" fontId="75" fillId="0" borderId="104" xfId="802" applyFont="1" applyFill="1" applyBorder="1" applyAlignment="1">
      <alignment horizontal="center"/>
    </xf>
    <xf numFmtId="9" fontId="75" fillId="0" borderId="82" xfId="802" applyNumberFormat="1" applyFont="1" applyFill="1" applyBorder="1" applyAlignment="1">
      <alignment horizontal="center"/>
    </xf>
    <xf numFmtId="0" fontId="75" fillId="0" borderId="100" xfId="0" applyNumberFormat="1" applyFont="1" applyFill="1" applyBorder="1" applyAlignment="1">
      <alignment horizontal="center"/>
    </xf>
    <xf numFmtId="0" fontId="0" fillId="0" borderId="97" xfId="0" applyNumberFormat="1" applyFill="1" applyBorder="1" applyAlignment="1">
      <alignment horizontal="center"/>
    </xf>
    <xf numFmtId="164" fontId="0" fillId="0" borderId="100" xfId="335" applyNumberFormat="1" applyFont="1" applyFill="1" applyBorder="1" applyAlignment="1">
      <alignment horizontal="left"/>
    </xf>
    <xf numFmtId="164" fontId="0" fillId="0" borderId="49" xfId="335" applyNumberFormat="1" applyFont="1" applyFill="1" applyBorder="1" applyAlignment="1">
      <alignment horizontal="left"/>
    </xf>
    <xf numFmtId="164" fontId="0" fillId="0" borderId="98" xfId="335" applyNumberFormat="1" applyFont="1" applyFill="1" applyBorder="1" applyAlignment="1">
      <alignment horizontal="left"/>
    </xf>
    <xf numFmtId="9" fontId="75" fillId="0" borderId="100" xfId="802" applyFont="1" applyFill="1" applyBorder="1" applyAlignment="1">
      <alignment horizontal="center"/>
    </xf>
    <xf numFmtId="9" fontId="75" fillId="0" borderId="49" xfId="802" applyFont="1" applyFill="1" applyBorder="1" applyAlignment="1">
      <alignment horizontal="center"/>
    </xf>
    <xf numFmtId="0" fontId="75" fillId="0" borderId="78" xfId="0" applyNumberFormat="1" applyFont="1" applyFill="1" applyBorder="1" applyAlignment="1">
      <alignment horizontal="center"/>
    </xf>
    <xf numFmtId="164" fontId="0" fillId="0" borderId="78" xfId="335" applyNumberFormat="1" applyFont="1" applyFill="1" applyBorder="1" applyAlignment="1">
      <alignment horizontal="left"/>
    </xf>
    <xf numFmtId="164" fontId="0" fillId="0" borderId="0" xfId="335" applyNumberFormat="1" applyFont="1" applyFill="1" applyBorder="1" applyAlignment="1">
      <alignment horizontal="left"/>
    </xf>
    <xf numFmtId="164" fontId="0" fillId="0" borderId="81" xfId="335" applyNumberFormat="1" applyFont="1" applyFill="1" applyBorder="1" applyAlignment="1">
      <alignment horizontal="left"/>
    </xf>
    <xf numFmtId="9" fontId="75" fillId="0" borderId="78" xfId="802" applyFont="1" applyFill="1" applyBorder="1" applyAlignment="1">
      <alignment horizontal="center"/>
    </xf>
    <xf numFmtId="9" fontId="75" fillId="0" borderId="0" xfId="802" applyFont="1" applyFill="1" applyBorder="1" applyAlignment="1">
      <alignment horizontal="center"/>
    </xf>
    <xf numFmtId="0" fontId="75" fillId="0" borderId="105" xfId="1" applyFont="1" applyFill="1" applyBorder="1" applyAlignment="1">
      <alignment horizontal="right" vertical="center"/>
    </xf>
    <xf numFmtId="1" fontId="0" fillId="0" borderId="0" xfId="1" applyNumberFormat="1" applyFont="1" applyFill="1" applyBorder="1" applyAlignment="1">
      <alignment horizontal="center" vertical="center"/>
    </xf>
    <xf numFmtId="14" fontId="74" fillId="0" borderId="0" xfId="0" applyNumberFormat="1" applyFont="1" applyFill="1" applyBorder="1" applyAlignment="1">
      <alignment horizontal="left"/>
    </xf>
    <xf numFmtId="0" fontId="75" fillId="0" borderId="106" xfId="1" applyFont="1" applyFill="1" applyBorder="1" applyAlignment="1">
      <alignment horizontal="right" vertical="center"/>
    </xf>
    <xf numFmtId="164" fontId="0" fillId="0" borderId="79" xfId="335" applyNumberFormat="1" applyFont="1" applyFill="1" applyBorder="1" applyAlignment="1">
      <alignment horizontal="left"/>
    </xf>
    <xf numFmtId="164" fontId="0" fillId="0" borderId="104" xfId="335" applyNumberFormat="1" applyFont="1" applyFill="1" applyBorder="1" applyAlignment="1">
      <alignment horizontal="left"/>
    </xf>
    <xf numFmtId="164" fontId="0" fillId="0" borderId="82" xfId="335" applyNumberFormat="1" applyFont="1" applyFill="1" applyBorder="1" applyAlignment="1">
      <alignment horizontal="left"/>
    </xf>
    <xf numFmtId="9" fontId="75" fillId="0" borderId="79" xfId="802" applyFont="1" applyFill="1" applyBorder="1" applyAlignment="1">
      <alignment horizontal="center"/>
    </xf>
    <xf numFmtId="0" fontId="75" fillId="0" borderId="77" xfId="1" quotePrefix="1" applyFont="1" applyFill="1" applyBorder="1" applyAlignment="1">
      <alignment horizontal="right" vertical="center"/>
    </xf>
    <xf numFmtId="0" fontId="0" fillId="0" borderId="77" xfId="0" quotePrefix="1" applyBorder="1" applyAlignment="1">
      <alignment horizontal="center"/>
    </xf>
    <xf numFmtId="0" fontId="0" fillId="0" borderId="61" xfId="0" quotePrefix="1" applyBorder="1" applyAlignment="1">
      <alignment horizontal="center"/>
    </xf>
    <xf numFmtId="3" fontId="0" fillId="0" borderId="60" xfId="0" quotePrefix="1" applyNumberFormat="1" applyBorder="1"/>
    <xf numFmtId="0" fontId="0" fillId="0" borderId="61" xfId="0" quotePrefix="1" applyFill="1" applyBorder="1" applyAlignment="1">
      <alignment horizontal="center"/>
    </xf>
    <xf numFmtId="0" fontId="0" fillId="0" borderId="62" xfId="0" quotePrefix="1" applyFill="1" applyBorder="1" applyAlignment="1">
      <alignment horizontal="center"/>
    </xf>
    <xf numFmtId="9" fontId="0" fillId="0" borderId="62" xfId="0" quotePrefix="1" applyNumberFormat="1" applyFill="1" applyBorder="1" applyAlignment="1">
      <alignment horizontal="center"/>
    </xf>
    <xf numFmtId="0" fontId="0" fillId="0" borderId="0" xfId="0" applyFill="1" applyBorder="1" applyAlignment="1"/>
    <xf numFmtId="0" fontId="3" fillId="0" borderId="78" xfId="0" applyNumberFormat="1" applyFont="1" applyFill="1" applyBorder="1" applyAlignment="1">
      <alignment horizontal="center"/>
    </xf>
    <xf numFmtId="0" fontId="75" fillId="0" borderId="78" xfId="3654" applyNumberFormat="1" applyFont="1" applyFill="1" applyBorder="1" applyAlignment="1">
      <alignment horizontal="center"/>
    </xf>
    <xf numFmtId="0" fontId="75" fillId="0" borderId="78" xfId="3652" applyNumberFormat="1" applyFont="1" applyFill="1" applyBorder="1" applyAlignment="1">
      <alignment horizontal="center"/>
    </xf>
    <xf numFmtId="0" fontId="80" fillId="0" borderId="78" xfId="3652" applyNumberFormat="1" applyFont="1" applyFill="1" applyBorder="1" applyAlignment="1">
      <alignment horizontal="center"/>
    </xf>
    <xf numFmtId="0" fontId="81" fillId="0" borderId="0" xfId="0" applyNumberFormat="1" applyFont="1" applyFill="1" applyBorder="1" applyAlignment="1">
      <alignment horizontal="left"/>
    </xf>
    <xf numFmtId="0" fontId="51" fillId="0" borderId="81" xfId="0" applyFont="1" applyFill="1" applyBorder="1" applyAlignment="1">
      <alignment horizontal="left"/>
    </xf>
    <xf numFmtId="0" fontId="81" fillId="0" borderId="105" xfId="0" applyNumberFormat="1" applyFont="1" applyFill="1" applyBorder="1" applyAlignment="1">
      <alignment horizontal="center"/>
    </xf>
    <xf numFmtId="0" fontId="81" fillId="0" borderId="78" xfId="0" applyNumberFormat="1" applyFont="1" applyFill="1" applyBorder="1" applyAlignment="1">
      <alignment horizontal="center"/>
    </xf>
    <xf numFmtId="2" fontId="81" fillId="83" borderId="78" xfId="0" applyNumberFormat="1" applyFont="1" applyFill="1" applyBorder="1" applyAlignment="1">
      <alignment horizontal="center"/>
    </xf>
    <xf numFmtId="2" fontId="81" fillId="83" borderId="0" xfId="0" applyNumberFormat="1" applyFont="1" applyFill="1" applyBorder="1" applyAlignment="1">
      <alignment horizontal="center"/>
    </xf>
    <xf numFmtId="165" fontId="74" fillId="0" borderId="0" xfId="0" applyNumberFormat="1" applyFont="1" applyFill="1" applyBorder="1" applyAlignment="1">
      <alignment horizontal="center"/>
    </xf>
    <xf numFmtId="0" fontId="74" fillId="0" borderId="81" xfId="3654" applyFont="1" applyFill="1" applyBorder="1" applyAlignment="1">
      <alignment horizontal="left"/>
    </xf>
    <xf numFmtId="2" fontId="0" fillId="83" borderId="78" xfId="0" applyNumberFormat="1" applyFont="1" applyFill="1" applyBorder="1" applyAlignment="1">
      <alignment horizontal="center"/>
    </xf>
    <xf numFmtId="2" fontId="0" fillId="83" borderId="0" xfId="0" applyNumberFormat="1" applyFont="1" applyFill="1" applyBorder="1" applyAlignment="1">
      <alignment horizontal="center"/>
    </xf>
    <xf numFmtId="0" fontId="75" fillId="0" borderId="81" xfId="0" applyFont="1" applyFill="1" applyBorder="1" applyAlignment="1">
      <alignment horizontal="left"/>
    </xf>
    <xf numFmtId="0" fontId="75" fillId="0" borderId="81" xfId="0" quotePrefix="1" applyFont="1" applyFill="1" applyBorder="1" applyAlignment="1">
      <alignment horizontal="left"/>
    </xf>
    <xf numFmtId="0" fontId="0" fillId="0" borderId="0" xfId="0" applyNumberFormat="1" applyFill="1" applyBorder="1"/>
    <xf numFmtId="0" fontId="0" fillId="0" borderId="79" xfId="0" applyFill="1" applyBorder="1" applyAlignment="1">
      <alignment horizontal="center"/>
    </xf>
    <xf numFmtId="0" fontId="0" fillId="0" borderId="104" xfId="0" applyFill="1" applyBorder="1" applyAlignment="1">
      <alignment horizontal="left"/>
    </xf>
    <xf numFmtId="0" fontId="0" fillId="0" borderId="82" xfId="0" applyFill="1" applyBorder="1" applyAlignment="1">
      <alignment horizontal="left"/>
    </xf>
    <xf numFmtId="0" fontId="74" fillId="0" borderId="106" xfId="0" applyNumberFormat="1" applyFont="1" applyFill="1" applyBorder="1" applyAlignment="1">
      <alignment horizontal="center"/>
    </xf>
    <xf numFmtId="0" fontId="74" fillId="0" borderId="79" xfId="0" applyNumberFormat="1" applyFont="1" applyFill="1" applyBorder="1" applyAlignment="1">
      <alignment horizontal="center"/>
    </xf>
    <xf numFmtId="2" fontId="0" fillId="83" borderId="79" xfId="0" applyNumberFormat="1" applyFill="1" applyBorder="1" applyAlignment="1">
      <alignment horizontal="center"/>
    </xf>
    <xf numFmtId="2" fontId="0" fillId="83" borderId="104" xfId="0" applyNumberFormat="1" applyFill="1" applyBorder="1" applyAlignment="1">
      <alignment horizontal="center"/>
    </xf>
    <xf numFmtId="2" fontId="0" fillId="83" borderId="82" xfId="0" applyNumberFormat="1" applyFill="1" applyBorder="1" applyAlignment="1">
      <alignment horizontal="center"/>
    </xf>
    <xf numFmtId="0" fontId="51" fillId="0" borderId="60" xfId="0" applyFont="1" applyBorder="1"/>
    <xf numFmtId="0" fontId="51" fillId="71" borderId="79" xfId="0" applyFont="1" applyFill="1" applyBorder="1" applyAlignment="1">
      <alignment horizontal="center"/>
    </xf>
    <xf numFmtId="0" fontId="51" fillId="71" borderId="82" xfId="0" applyFont="1" applyFill="1" applyBorder="1" applyAlignment="1">
      <alignment horizontal="center"/>
    </xf>
    <xf numFmtId="172" fontId="0" fillId="0" borderId="0" xfId="0" applyNumberFormat="1"/>
    <xf numFmtId="2" fontId="0" fillId="0" borderId="0" xfId="0" applyNumberFormat="1"/>
    <xf numFmtId="2" fontId="0" fillId="0" borderId="0" xfId="0" quotePrefix="1" applyNumberFormat="1"/>
    <xf numFmtId="2" fontId="0" fillId="0" borderId="0" xfId="0" applyNumberFormat="1" applyFill="1" applyBorder="1"/>
    <xf numFmtId="0" fontId="75" fillId="0" borderId="0" xfId="0" applyNumberFormat="1" applyFont="1" applyFill="1" applyBorder="1" applyAlignment="1">
      <alignment horizontal="right"/>
    </xf>
    <xf numFmtId="0" fontId="75" fillId="0" borderId="0" xfId="0" applyNumberFormat="1" applyFont="1" applyFill="1" applyBorder="1" applyAlignment="1">
      <alignment horizontal="center"/>
    </xf>
    <xf numFmtId="0" fontId="0" fillId="90" borderId="78" xfId="1" applyFont="1" applyFill="1" applyBorder="1" applyAlignment="1">
      <alignment horizontal="left" vertical="center"/>
    </xf>
    <xf numFmtId="0" fontId="0" fillId="0" borderId="78" xfId="1" applyFont="1" applyFill="1" applyBorder="1" applyAlignment="1">
      <alignment horizontal="left" vertical="center"/>
    </xf>
    <xf numFmtId="0" fontId="0" fillId="90" borderId="100" xfId="1" applyFont="1" applyFill="1" applyBorder="1" applyAlignment="1">
      <alignment horizontal="left" vertical="center"/>
    </xf>
    <xf numFmtId="0" fontId="0" fillId="90" borderId="49" xfId="1" applyFont="1" applyFill="1" applyBorder="1" applyAlignment="1">
      <alignment horizontal="center" vertical="center"/>
    </xf>
    <xf numFmtId="9" fontId="0" fillId="90" borderId="49" xfId="802" applyFont="1" applyFill="1" applyBorder="1"/>
    <xf numFmtId="9" fontId="0" fillId="90" borderId="100" xfId="802" applyFont="1" applyFill="1" applyBorder="1"/>
    <xf numFmtId="9" fontId="0" fillId="90" borderId="49" xfId="802" applyNumberFormat="1" applyFont="1" applyFill="1" applyBorder="1"/>
    <xf numFmtId="9" fontId="0" fillId="90" borderId="98" xfId="802" applyNumberFormat="1" applyFont="1" applyFill="1" applyBorder="1"/>
    <xf numFmtId="0" fontId="3" fillId="0" borderId="78" xfId="1" applyFont="1" applyFill="1" applyBorder="1" applyAlignment="1">
      <alignment horizontal="left" vertical="center"/>
    </xf>
    <xf numFmtId="0" fontId="8" fillId="83" borderId="0" xfId="3656" applyFont="1" applyFill="1" applyBorder="1"/>
    <xf numFmtId="1" fontId="18" fillId="83" borderId="0" xfId="3656" applyNumberFormat="1" applyFont="1" applyFill="1" applyBorder="1" applyAlignment="1">
      <alignment horizontal="center"/>
    </xf>
    <xf numFmtId="171" fontId="27" fillId="83" borderId="0" xfId="3656" applyNumberFormat="1" applyFont="1" applyFill="1" applyBorder="1" applyAlignment="1">
      <alignment horizontal="left"/>
    </xf>
    <xf numFmtId="171" fontId="8" fillId="83" borderId="0" xfId="3656" applyNumberFormat="1" applyFont="1" applyFill="1" applyBorder="1" applyAlignment="1">
      <alignment horizontal="center"/>
    </xf>
    <xf numFmtId="1" fontId="27" fillId="83" borderId="0" xfId="3656" applyNumberFormat="1" applyFont="1" applyFill="1" applyBorder="1" applyAlignment="1">
      <alignment horizontal="left"/>
    </xf>
    <xf numFmtId="1" fontId="8" fillId="83" borderId="0" xfId="3656" applyNumberFormat="1" applyFont="1" applyFill="1" applyBorder="1" applyAlignment="1">
      <alignment horizontal="center"/>
    </xf>
    <xf numFmtId="0" fontId="8" fillId="94" borderId="0" xfId="3656" applyFont="1" applyFill="1" applyBorder="1"/>
    <xf numFmtId="1" fontId="3" fillId="94" borderId="0" xfId="3851" applyNumberFormat="1" applyFont="1" applyFill="1" applyBorder="1"/>
    <xf numFmtId="1" fontId="18" fillId="94" borderId="0" xfId="3851" applyNumberFormat="1" applyFont="1" applyFill="1" applyBorder="1" applyAlignment="1">
      <alignment horizontal="center"/>
    </xf>
    <xf numFmtId="171" fontId="4" fillId="94" borderId="0" xfId="3851" applyNumberFormat="1" applyFont="1" applyFill="1" applyBorder="1" applyAlignment="1">
      <alignment horizontal="left"/>
    </xf>
    <xf numFmtId="171" fontId="3" fillId="94" borderId="0" xfId="3851" applyNumberFormat="1" applyFont="1" applyFill="1" applyBorder="1" applyAlignment="1">
      <alignment horizontal="center"/>
    </xf>
    <xf numFmtId="1" fontId="4" fillId="94" borderId="0" xfId="3851" applyNumberFormat="1" applyFont="1" applyFill="1" applyBorder="1" applyAlignment="1">
      <alignment horizontal="left"/>
    </xf>
    <xf numFmtId="1" fontId="3" fillId="94" borderId="0" xfId="3851" applyNumberFormat="1" applyFont="1" applyFill="1" applyBorder="1" applyAlignment="1">
      <alignment horizontal="center"/>
    </xf>
    <xf numFmtId="9" fontId="0" fillId="0" borderId="62" xfId="802" applyFont="1" applyFill="1" applyBorder="1"/>
    <xf numFmtId="0" fontId="0" fillId="65" borderId="0" xfId="0" applyNumberFormat="1" applyFill="1" applyBorder="1" applyAlignment="1">
      <alignment horizontal="center"/>
    </xf>
    <xf numFmtId="0" fontId="0" fillId="65" borderId="0" xfId="0" applyNumberFormat="1" applyFill="1" applyBorder="1" applyAlignment="1">
      <alignment horizontal="left"/>
    </xf>
    <xf numFmtId="2" fontId="0" fillId="65" borderId="0" xfId="0" applyNumberFormat="1" applyFill="1" applyBorder="1" applyAlignment="1">
      <alignment horizontal="center"/>
    </xf>
    <xf numFmtId="0" fontId="70" fillId="65" borderId="0" xfId="0" applyNumberFormat="1" applyFont="1" applyFill="1" applyBorder="1" applyAlignment="1">
      <alignment horizontal="center"/>
    </xf>
    <xf numFmtId="43" fontId="0" fillId="65" borderId="0" xfId="335" applyFont="1" applyFill="1" applyBorder="1" applyAlignment="1">
      <alignment horizontal="center"/>
    </xf>
    <xf numFmtId="0" fontId="51" fillId="65" borderId="0" xfId="0" applyNumberFormat="1" applyFont="1" applyFill="1" applyBorder="1" applyAlignment="1">
      <alignment horizontal="center" vertical="center"/>
    </xf>
    <xf numFmtId="0" fontId="0" fillId="65" borderId="0" xfId="0" applyFill="1" applyBorder="1" applyAlignment="1">
      <alignment horizontal="center"/>
    </xf>
    <xf numFmtId="0" fontId="74" fillId="65" borderId="0" xfId="0" applyFont="1" applyFill="1" applyBorder="1" applyAlignment="1">
      <alignment horizontal="center"/>
    </xf>
    <xf numFmtId="0" fontId="74" fillId="65" borderId="0" xfId="0" applyNumberFormat="1" applyFont="1" applyFill="1" applyBorder="1" applyAlignment="1">
      <alignment horizontal="center"/>
    </xf>
    <xf numFmtId="0" fontId="81" fillId="65" borderId="0" xfId="0" applyNumberFormat="1" applyFont="1" applyFill="1" applyBorder="1" applyAlignment="1">
      <alignment horizontal="center"/>
    </xf>
    <xf numFmtId="0" fontId="78" fillId="65" borderId="0" xfId="0" applyFont="1" applyFill="1" applyBorder="1" applyAlignment="1">
      <alignment horizontal="center"/>
    </xf>
    <xf numFmtId="165" fontId="0" fillId="65" borderId="0" xfId="0" applyNumberFormat="1" applyFill="1" applyBorder="1" applyAlignment="1">
      <alignment horizontal="center"/>
    </xf>
    <xf numFmtId="0" fontId="74" fillId="65" borderId="0" xfId="0" applyNumberFormat="1" applyFont="1" applyFill="1" applyBorder="1" applyAlignment="1">
      <alignment horizontal="left"/>
    </xf>
    <xf numFmtId="0" fontId="75" fillId="65" borderId="0" xfId="3652" applyNumberFormat="1" applyFont="1" applyFill="1" applyBorder="1" applyAlignment="1">
      <alignment horizontal="left"/>
    </xf>
    <xf numFmtId="2" fontId="74" fillId="65" borderId="0" xfId="0" applyNumberFormat="1" applyFont="1" applyFill="1" applyBorder="1" applyAlignment="1">
      <alignment horizontal="center"/>
    </xf>
    <xf numFmtId="165" fontId="74" fillId="65" borderId="0" xfId="0" applyNumberFormat="1" applyFont="1" applyFill="1" applyBorder="1" applyAlignment="1">
      <alignment horizontal="center"/>
    </xf>
    <xf numFmtId="0" fontId="82" fillId="65" borderId="0" xfId="0" applyNumberFormat="1" applyFont="1" applyFill="1" applyBorder="1" applyAlignment="1">
      <alignment horizontal="center"/>
    </xf>
    <xf numFmtId="0" fontId="0" fillId="83" borderId="0" xfId="0" applyFill="1"/>
    <xf numFmtId="0" fontId="0" fillId="83" borderId="0" xfId="0" applyFill="1" applyBorder="1" applyAlignment="1">
      <alignment horizontal="center"/>
    </xf>
    <xf numFmtId="3" fontId="4" fillId="83" borderId="0" xfId="1" applyNumberFormat="1" applyFont="1" applyFill="1" applyBorder="1" applyAlignment="1">
      <alignment horizontal="center"/>
    </xf>
    <xf numFmtId="0" fontId="0" fillId="83" borderId="0" xfId="0" applyFill="1" applyBorder="1"/>
    <xf numFmtId="9" fontId="0" fillId="83" borderId="0" xfId="0" applyNumberFormat="1" applyFill="1" applyBorder="1"/>
    <xf numFmtId="0" fontId="0" fillId="83" borderId="0" xfId="0" applyFill="1" applyBorder="1" applyAlignment="1"/>
    <xf numFmtId="0" fontId="0" fillId="83" borderId="0" xfId="0" applyNumberFormat="1" applyFill="1" applyBorder="1" applyAlignment="1">
      <alignment horizontal="center"/>
    </xf>
    <xf numFmtId="0" fontId="51" fillId="83" borderId="0" xfId="0" applyNumberFormat="1" applyFont="1" applyFill="1" applyBorder="1" applyAlignment="1">
      <alignment horizontal="left"/>
    </xf>
    <xf numFmtId="0" fontId="0" fillId="83" borderId="0" xfId="0" applyNumberFormat="1" applyFill="1" applyBorder="1" applyAlignment="1">
      <alignment horizontal="left"/>
    </xf>
    <xf numFmtId="3" fontId="0" fillId="83" borderId="0" xfId="0" applyNumberFormat="1" applyFill="1"/>
    <xf numFmtId="9" fontId="0" fillId="83" borderId="0" xfId="0" applyNumberFormat="1" applyFill="1"/>
    <xf numFmtId="0" fontId="0" fillId="90" borderId="97" xfId="0" quotePrefix="1" applyFill="1" applyBorder="1" applyAlignment="1">
      <alignment horizontal="center"/>
    </xf>
    <xf numFmtId="0" fontId="0" fillId="90" borderId="105" xfId="0" quotePrefix="1" applyFill="1" applyBorder="1" applyAlignment="1">
      <alignment horizontal="center"/>
    </xf>
    <xf numFmtId="0" fontId="0" fillId="90" borderId="79" xfId="1" applyFont="1" applyFill="1" applyBorder="1" applyAlignment="1">
      <alignment horizontal="left" vertical="center"/>
    </xf>
    <xf numFmtId="0" fontId="0" fillId="90" borderId="104" xfId="0" quotePrefix="1" applyFill="1" applyBorder="1" applyAlignment="1">
      <alignment horizontal="center"/>
    </xf>
    <xf numFmtId="9" fontId="0" fillId="90" borderId="106" xfId="802" applyFont="1" applyFill="1" applyBorder="1"/>
    <xf numFmtId="9" fontId="0" fillId="90" borderId="104" xfId="802" applyFont="1" applyFill="1" applyBorder="1"/>
    <xf numFmtId="9" fontId="0" fillId="90" borderId="82" xfId="802" applyFont="1" applyFill="1" applyBorder="1"/>
    <xf numFmtId="9" fontId="0" fillId="90" borderId="79" xfId="802" applyFont="1" applyFill="1" applyBorder="1"/>
    <xf numFmtId="0" fontId="0" fillId="90" borderId="106" xfId="0" applyFill="1" applyBorder="1" applyAlignment="1">
      <alignment horizontal="center"/>
    </xf>
    <xf numFmtId="0" fontId="30" fillId="65" borderId="60" xfId="0" applyNumberFormat="1" applyFont="1" applyFill="1" applyBorder="1" applyAlignment="1">
      <alignment horizontal="left"/>
    </xf>
    <xf numFmtId="0" fontId="0" fillId="65" borderId="62" xfId="0" applyNumberFormat="1" applyFill="1" applyBorder="1" applyAlignment="1">
      <alignment horizontal="left"/>
    </xf>
    <xf numFmtId="0" fontId="51" fillId="83" borderId="60" xfId="0" applyFont="1" applyFill="1" applyBorder="1"/>
    <xf numFmtId="0" fontId="0" fillId="83" borderId="62" xfId="0" applyFill="1" applyBorder="1" applyAlignment="1">
      <alignment horizontal="center"/>
    </xf>
    <xf numFmtId="0" fontId="3" fillId="0" borderId="0" xfId="0" applyFont="1" applyAlignment="1">
      <alignment vertical="top"/>
    </xf>
    <xf numFmtId="0" fontId="3" fillId="0" borderId="96" xfId="0" applyFont="1" applyBorder="1" applyAlignment="1">
      <alignment vertical="top" wrapText="1"/>
    </xf>
    <xf numFmtId="0" fontId="3" fillId="0" borderId="96" xfId="0" applyFont="1" applyBorder="1" applyAlignment="1">
      <alignment wrapText="1"/>
    </xf>
    <xf numFmtId="3" fontId="0" fillId="0" borderId="96" xfId="1" applyNumberFormat="1" applyFont="1" applyFill="1" applyBorder="1" applyAlignment="1">
      <alignment wrapText="1"/>
    </xf>
    <xf numFmtId="0" fontId="4" fillId="0" borderId="26" xfId="0" applyFont="1" applyBorder="1" applyAlignment="1"/>
    <xf numFmtId="0" fontId="4" fillId="0" borderId="27" xfId="0" applyFont="1" applyBorder="1" applyAlignment="1">
      <alignment wrapText="1"/>
    </xf>
    <xf numFmtId="0" fontId="4" fillId="0" borderId="28" xfId="0" applyFont="1" applyBorder="1" applyAlignment="1">
      <alignment wrapText="1"/>
    </xf>
    <xf numFmtId="0" fontId="3" fillId="0" borderId="24" xfId="0" applyFont="1" applyBorder="1" applyAlignment="1">
      <alignment vertical="top"/>
    </xf>
    <xf numFmtId="0" fontId="3" fillId="0" borderId="25" xfId="0" applyFont="1" applyBorder="1" applyAlignment="1">
      <alignment vertical="top" wrapText="1"/>
    </xf>
    <xf numFmtId="0" fontId="3" fillId="0" borderId="24" xfId="0" applyFont="1" applyFill="1" applyBorder="1" applyAlignment="1">
      <alignment vertical="top"/>
    </xf>
    <xf numFmtId="0" fontId="3" fillId="0" borderId="25" xfId="0" applyFont="1" applyBorder="1" applyAlignment="1">
      <alignment wrapText="1"/>
    </xf>
    <xf numFmtId="0" fontId="3" fillId="0" borderId="24" xfId="0" applyFont="1" applyBorder="1" applyAlignment="1">
      <alignment vertical="top" wrapText="1"/>
    </xf>
    <xf numFmtId="0" fontId="3" fillId="0" borderId="24" xfId="0" applyFont="1" applyFill="1" applyBorder="1" applyAlignment="1">
      <alignment vertical="top" wrapText="1"/>
    </xf>
    <xf numFmtId="0" fontId="3" fillId="0" borderId="108" xfId="0" applyFont="1" applyFill="1" applyBorder="1" applyAlignment="1">
      <alignment vertical="top" wrapText="1"/>
    </xf>
    <xf numFmtId="0" fontId="3" fillId="0" borderId="91" xfId="0" applyFont="1" applyBorder="1" applyAlignment="1">
      <alignment wrapText="1"/>
    </xf>
    <xf numFmtId="0" fontId="3" fillId="0" borderId="90" xfId="0" applyFont="1" applyBorder="1" applyAlignment="1">
      <alignment wrapText="1"/>
    </xf>
    <xf numFmtId="0" fontId="3" fillId="0" borderId="94" xfId="0" applyFont="1" applyBorder="1" applyAlignment="1">
      <alignment horizontal="left" vertical="top" wrapText="1"/>
    </xf>
    <xf numFmtId="0" fontId="0" fillId="0" borderId="94" xfId="0" applyBorder="1" applyAlignment="1">
      <alignment horizontal="left" vertical="top" wrapText="1"/>
    </xf>
    <xf numFmtId="3" fontId="4" fillId="0" borderId="0" xfId="0" applyNumberFormat="1" applyFont="1" applyAlignment="1">
      <alignment horizontal="center" wrapText="1"/>
    </xf>
    <xf numFmtId="0" fontId="4" fillId="0" borderId="0" xfId="1" applyFont="1" applyAlignment="1">
      <alignment horizontal="center" wrapText="1"/>
    </xf>
    <xf numFmtId="164" fontId="4" fillId="71" borderId="10" xfId="335" applyNumberFormat="1" applyFont="1" applyFill="1" applyBorder="1" applyAlignment="1">
      <alignment horizontal="center"/>
    </xf>
    <xf numFmtId="164" fontId="4" fillId="71" borderId="17" xfId="335" applyNumberFormat="1" applyFont="1" applyFill="1" applyBorder="1" applyAlignment="1">
      <alignment horizontal="center"/>
    </xf>
    <xf numFmtId="3" fontId="4" fillId="25" borderId="18" xfId="1" applyNumberFormat="1" applyFont="1" applyFill="1" applyBorder="1" applyAlignment="1">
      <alignment horizontal="center"/>
    </xf>
    <xf numFmtId="3" fontId="4" fillId="25" borderId="10" xfId="1" applyNumberFormat="1" applyFont="1" applyFill="1" applyBorder="1" applyAlignment="1">
      <alignment horizontal="center"/>
    </xf>
    <xf numFmtId="3" fontId="4" fillId="25" borderId="17" xfId="1" applyNumberFormat="1" applyFont="1" applyFill="1" applyBorder="1" applyAlignment="1">
      <alignment horizontal="center"/>
    </xf>
    <xf numFmtId="0" fontId="4" fillId="73" borderId="18" xfId="1" applyFont="1" applyFill="1" applyBorder="1" applyAlignment="1">
      <alignment horizontal="center" vertical="center"/>
    </xf>
    <xf numFmtId="0" fontId="4" fillId="73" borderId="10" xfId="1" applyFont="1" applyFill="1" applyBorder="1" applyAlignment="1">
      <alignment horizontal="center" vertical="center"/>
    </xf>
    <xf numFmtId="0" fontId="4" fillId="73" borderId="17" xfId="1" applyFont="1" applyFill="1" applyBorder="1" applyAlignment="1">
      <alignment horizontal="center" vertical="center"/>
    </xf>
    <xf numFmtId="0" fontId="4" fillId="25" borderId="18" xfId="1" applyFont="1" applyFill="1" applyBorder="1" applyAlignment="1">
      <alignment horizontal="center"/>
    </xf>
    <xf numFmtId="0" fontId="4" fillId="25" borderId="17" xfId="1" applyFont="1" applyFill="1" applyBorder="1" applyAlignment="1">
      <alignment horizontal="center"/>
    </xf>
    <xf numFmtId="0" fontId="4" fillId="71" borderId="18" xfId="1" applyFont="1" applyFill="1" applyBorder="1" applyAlignment="1">
      <alignment horizontal="center" vertical="center"/>
    </xf>
    <xf numFmtId="0" fontId="4" fillId="71" borderId="10" xfId="1" applyFont="1" applyFill="1" applyBorder="1" applyAlignment="1">
      <alignment horizontal="center" vertical="center"/>
    </xf>
    <xf numFmtId="0" fontId="4" fillId="71" borderId="17" xfId="1" applyFont="1" applyFill="1" applyBorder="1" applyAlignment="1">
      <alignment horizontal="center" vertical="center"/>
    </xf>
    <xf numFmtId="165" fontId="4" fillId="92" borderId="77" xfId="0" applyNumberFormat="1" applyFont="1" applyFill="1" applyBorder="1" applyAlignment="1">
      <alignment horizontal="center"/>
    </xf>
    <xf numFmtId="0" fontId="4" fillId="69" borderId="60" xfId="0" applyFont="1" applyFill="1" applyBorder="1" applyAlignment="1">
      <alignment horizontal="center"/>
    </xf>
    <xf numFmtId="0" fontId="4" fillId="69" borderId="62" xfId="0" applyFont="1" applyFill="1" applyBorder="1" applyAlignment="1">
      <alignment horizontal="center"/>
    </xf>
    <xf numFmtId="0" fontId="4" fillId="76" borderId="60" xfId="0" applyFont="1" applyFill="1" applyBorder="1" applyAlignment="1">
      <alignment horizontal="center"/>
    </xf>
    <xf numFmtId="0" fontId="4" fillId="76" borderId="62" xfId="0" applyFont="1" applyFill="1" applyBorder="1" applyAlignment="1">
      <alignment horizontal="center"/>
    </xf>
    <xf numFmtId="0" fontId="4" fillId="88" borderId="18" xfId="0" applyFont="1" applyFill="1" applyBorder="1" applyAlignment="1">
      <alignment horizontal="center"/>
    </xf>
    <xf numFmtId="0" fontId="4" fillId="88" borderId="10" xfId="0" applyFont="1" applyFill="1" applyBorder="1" applyAlignment="1">
      <alignment horizontal="center"/>
    </xf>
    <xf numFmtId="0" fontId="4" fillId="88" borderId="85" xfId="0" applyFont="1" applyFill="1" applyBorder="1" applyAlignment="1">
      <alignment horizontal="center"/>
    </xf>
    <xf numFmtId="0" fontId="4" fillId="85" borderId="13" xfId="0" applyFont="1" applyFill="1" applyBorder="1" applyAlignment="1">
      <alignment horizontal="center"/>
    </xf>
    <xf numFmtId="0" fontId="4" fillId="85" borderId="14" xfId="0" applyFont="1" applyFill="1" applyBorder="1" applyAlignment="1">
      <alignment horizontal="center"/>
    </xf>
    <xf numFmtId="9" fontId="4" fillId="0" borderId="60" xfId="0" applyNumberFormat="1" applyFont="1" applyFill="1" applyBorder="1" applyAlignment="1">
      <alignment horizontal="right"/>
    </xf>
    <xf numFmtId="9" fontId="4" fillId="0" borderId="61" xfId="0" applyNumberFormat="1" applyFont="1" applyFill="1" applyBorder="1" applyAlignment="1">
      <alignment horizontal="right"/>
    </xf>
    <xf numFmtId="0" fontId="71" fillId="0" borderId="100" xfId="0" applyNumberFormat="1" applyFont="1" applyFill="1" applyBorder="1" applyAlignment="1">
      <alignment horizontal="center"/>
    </xf>
    <xf numFmtId="0" fontId="71" fillId="0" borderId="49" xfId="0" applyNumberFormat="1" applyFont="1" applyFill="1" applyBorder="1" applyAlignment="1">
      <alignment horizontal="center"/>
    </xf>
    <xf numFmtId="0" fontId="71" fillId="0" borderId="98" xfId="0" applyNumberFormat="1" applyFont="1" applyFill="1" applyBorder="1" applyAlignment="1">
      <alignment horizontal="center"/>
    </xf>
    <xf numFmtId="0" fontId="51" fillId="0" borderId="60" xfId="0" applyFont="1" applyBorder="1" applyAlignment="1">
      <alignment horizontal="center"/>
    </xf>
    <xf numFmtId="0" fontId="51" fillId="0" borderId="61" xfId="0" applyFont="1" applyBorder="1" applyAlignment="1">
      <alignment horizontal="center"/>
    </xf>
    <xf numFmtId="0" fontId="51" fillId="0" borderId="62" xfId="0" applyFont="1" applyBorder="1" applyAlignment="1">
      <alignment horizontal="center"/>
    </xf>
    <xf numFmtId="0" fontId="0" fillId="71" borderId="60" xfId="0" applyFill="1" applyBorder="1" applyAlignment="1">
      <alignment horizontal="center"/>
    </xf>
    <xf numFmtId="0" fontId="0" fillId="71" borderId="62" xfId="0" applyFill="1" applyBorder="1" applyAlignment="1">
      <alignment horizontal="center"/>
    </xf>
    <xf numFmtId="0" fontId="30" fillId="30" borderId="63" xfId="785" applyFont="1" applyFill="1" applyBorder="1" applyAlignment="1">
      <alignment horizontal="center"/>
    </xf>
    <xf numFmtId="0" fontId="30" fillId="30" borderId="64" xfId="785" applyFont="1" applyFill="1" applyBorder="1" applyAlignment="1">
      <alignment horizontal="center"/>
    </xf>
    <xf numFmtId="0" fontId="4" fillId="29" borderId="60" xfId="785" applyFont="1" applyFill="1" applyBorder="1" applyAlignment="1">
      <alignment horizontal="center"/>
    </xf>
    <xf numFmtId="0" fontId="4" fillId="29" borderId="61" xfId="785" applyFont="1" applyFill="1" applyBorder="1" applyAlignment="1">
      <alignment horizontal="center"/>
    </xf>
    <xf numFmtId="0" fontId="4" fillId="29" borderId="62" xfId="785" applyFont="1" applyFill="1" applyBorder="1" applyAlignment="1">
      <alignment horizontal="center"/>
    </xf>
    <xf numFmtId="2" fontId="30" fillId="30" borderId="63" xfId="785" applyNumberFormat="1" applyFont="1" applyFill="1" applyBorder="1" applyAlignment="1">
      <alignment horizontal="center"/>
    </xf>
    <xf numFmtId="2" fontId="30" fillId="30" borderId="64" xfId="785" applyNumberFormat="1" applyFont="1" applyFill="1" applyBorder="1" applyAlignment="1">
      <alignment horizontal="center"/>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3" fillId="0" borderId="63" xfId="785" applyBorder="1" applyAlignment="1">
      <alignment horizontal="left"/>
    </xf>
    <xf numFmtId="0" fontId="3" fillId="0" borderId="64" xfId="785" applyBorder="1" applyAlignment="1">
      <alignment horizontal="left"/>
    </xf>
    <xf numFmtId="0" fontId="3" fillId="0" borderId="84" xfId="785" applyBorder="1" applyAlignment="1">
      <alignment horizontal="left" vertical="top" wrapText="1"/>
    </xf>
    <xf numFmtId="0" fontId="3" fillId="0" borderId="85" xfId="785" applyBorder="1" applyAlignment="1">
      <alignment horizontal="left" vertical="top" wrapText="1"/>
    </xf>
    <xf numFmtId="0" fontId="3" fillId="0" borderId="78" xfId="785" applyBorder="1" applyAlignment="1">
      <alignment horizontal="left" vertical="top" wrapText="1"/>
    </xf>
    <xf numFmtId="0" fontId="3" fillId="0" borderId="81" xfId="785" applyBorder="1" applyAlignment="1">
      <alignment horizontal="left" vertical="top" wrapText="1"/>
    </xf>
    <xf numFmtId="0" fontId="3" fillId="0" borderId="79" xfId="785" applyBorder="1" applyAlignment="1">
      <alignment horizontal="left" vertical="top" wrapText="1"/>
    </xf>
    <xf numFmtId="0" fontId="3" fillId="0" borderId="82" xfId="785" applyBorder="1" applyAlignment="1">
      <alignment horizontal="left" vertical="top" wrapText="1"/>
    </xf>
    <xf numFmtId="0" fontId="59" fillId="68" borderId="0" xfId="3656" applyFont="1" applyFill="1" applyAlignment="1">
      <alignment horizontal="center" vertical="center" textRotation="90"/>
    </xf>
    <xf numFmtId="0" fontId="61" fillId="84" borderId="10" xfId="3656" applyFont="1" applyFill="1" applyBorder="1" applyAlignment="1">
      <alignment horizontal="center" vertical="center" textRotation="90" wrapText="1"/>
    </xf>
    <xf numFmtId="0" fontId="61" fillId="84" borderId="0" xfId="3656" applyFont="1" applyFill="1" applyBorder="1" applyAlignment="1">
      <alignment horizontal="center" vertical="center" textRotation="90" wrapText="1"/>
    </xf>
  </cellXfs>
  <cellStyles count="3852">
    <cellStyle name="_x0013_" xfId="1"/>
    <cellStyle name="_x0013_ 10" xfId="2"/>
    <cellStyle name="_x0013_ 100" xfId="3"/>
    <cellStyle name="_x0013_ 101" xfId="4"/>
    <cellStyle name="_x0013_ 102" xfId="5"/>
    <cellStyle name="_x0013_ 103" xfId="6"/>
    <cellStyle name="_x0013_ 104" xfId="7"/>
    <cellStyle name="_x0013_ 105" xfId="8"/>
    <cellStyle name="_x0013_ 106" xfId="9"/>
    <cellStyle name="_x0013_ 107" xfId="10"/>
    <cellStyle name="_x0013_ 108" xfId="11"/>
    <cellStyle name="_x0013_ 109" xfId="12"/>
    <cellStyle name="_x0013_ 11" xfId="13"/>
    <cellStyle name="_x0013_ 110 2" xfId="3656"/>
    <cellStyle name="_x0013_ 112" xfId="3851"/>
    <cellStyle name="_x0013_ 12" xfId="14"/>
    <cellStyle name="_x0013_ 13" xfId="15"/>
    <cellStyle name="_x0013_ 14" xfId="16"/>
    <cellStyle name="_x0013_ 15" xfId="17"/>
    <cellStyle name="_x0013_ 16" xfId="18"/>
    <cellStyle name="_x0013_ 17" xfId="19"/>
    <cellStyle name="_x0013_ 18" xfId="20"/>
    <cellStyle name="_x0013_ 19" xfId="21"/>
    <cellStyle name="_x0013_ 2" xfId="22"/>
    <cellStyle name="_x0013_ 2 2" xfId="3664"/>
    <cellStyle name="_x0013_ 20" xfId="23"/>
    <cellStyle name="_x0013_ 21" xfId="24"/>
    <cellStyle name="_x0013_ 22" xfId="25"/>
    <cellStyle name="_x0013_ 23" xfId="26"/>
    <cellStyle name="_x0013_ 24" xfId="27"/>
    <cellStyle name="_x0013_ 25" xfId="28"/>
    <cellStyle name="_x0013_ 26" xfId="29"/>
    <cellStyle name="_x0013_ 27" xfId="30"/>
    <cellStyle name="_x0013_ 28" xfId="31"/>
    <cellStyle name="_x0013_ 29" xfId="32"/>
    <cellStyle name="_x0013_ 3" xfId="33"/>
    <cellStyle name="_x0013_ 3 2" xfId="3665"/>
    <cellStyle name="_x0013_ 30" xfId="34"/>
    <cellStyle name="_x0013_ 31" xfId="35"/>
    <cellStyle name="_x0013_ 32" xfId="36"/>
    <cellStyle name="_x0013_ 33" xfId="37"/>
    <cellStyle name="_x0013_ 34" xfId="38"/>
    <cellStyle name="_x0013_ 35" xfId="39"/>
    <cellStyle name="_x0013_ 36" xfId="40"/>
    <cellStyle name="_x0013_ 37" xfId="41"/>
    <cellStyle name="_x0013_ 38" xfId="42"/>
    <cellStyle name="_x0013_ 39" xfId="43"/>
    <cellStyle name="_x0013_ 4" xfId="44"/>
    <cellStyle name="_x0013_ 4 2" xfId="3666"/>
    <cellStyle name="_x0013_ 40" xfId="45"/>
    <cellStyle name="_x0013_ 41" xfId="46"/>
    <cellStyle name="_x0013_ 42" xfId="47"/>
    <cellStyle name="_x0013_ 43" xfId="48"/>
    <cellStyle name="_x0013_ 44" xfId="49"/>
    <cellStyle name="_x0013_ 45" xfId="50"/>
    <cellStyle name="_x0013_ 46" xfId="51"/>
    <cellStyle name="_x0013_ 47" xfId="52"/>
    <cellStyle name="_x0013_ 48" xfId="53"/>
    <cellStyle name="_x0013_ 49" xfId="54"/>
    <cellStyle name="_x0013_ 5" xfId="55"/>
    <cellStyle name="_x0013_ 5 2" xfId="3667"/>
    <cellStyle name="_x0013_ 50" xfId="56"/>
    <cellStyle name="_x0013_ 51" xfId="57"/>
    <cellStyle name="_x0013_ 52" xfId="58"/>
    <cellStyle name="_x0013_ 53" xfId="59"/>
    <cellStyle name="_x0013_ 54" xfId="60"/>
    <cellStyle name="_x0013_ 55" xfId="61"/>
    <cellStyle name="_x0013_ 56" xfId="62"/>
    <cellStyle name="_x0013_ 57" xfId="63"/>
    <cellStyle name="_x0013_ 58" xfId="64"/>
    <cellStyle name="_x0013_ 59" xfId="65"/>
    <cellStyle name="_x0013_ 6" xfId="66"/>
    <cellStyle name="_x0013_ 6 2" xfId="3668"/>
    <cellStyle name="_x0013_ 60" xfId="67"/>
    <cellStyle name="_x0013_ 61" xfId="68"/>
    <cellStyle name="_x0013_ 62" xfId="69"/>
    <cellStyle name="_x0013_ 63" xfId="70"/>
    <cellStyle name="_x0013_ 64" xfId="71"/>
    <cellStyle name="_x0013_ 65" xfId="72"/>
    <cellStyle name="_x0013_ 66" xfId="73"/>
    <cellStyle name="_x0013_ 67" xfId="74"/>
    <cellStyle name="_x0013_ 68" xfId="75"/>
    <cellStyle name="_x0013_ 69" xfId="76"/>
    <cellStyle name="_x0013_ 7" xfId="77"/>
    <cellStyle name="_x0013_ 7 2" xfId="3669"/>
    <cellStyle name="_x0013_ 70" xfId="78"/>
    <cellStyle name="_x0013_ 71" xfId="79"/>
    <cellStyle name="_x0013_ 72" xfId="80"/>
    <cellStyle name="_x0013_ 73" xfId="81"/>
    <cellStyle name="_x0013_ 74" xfId="82"/>
    <cellStyle name="_x0013_ 75" xfId="83"/>
    <cellStyle name="_x0013_ 76" xfId="84"/>
    <cellStyle name="_x0013_ 77" xfId="85"/>
    <cellStyle name="_x0013_ 78" xfId="86"/>
    <cellStyle name="_x0013_ 79" xfId="87"/>
    <cellStyle name="_x0013_ 8" xfId="88"/>
    <cellStyle name="_x0013_ 80" xfId="89"/>
    <cellStyle name="_x0013_ 81" xfId="90"/>
    <cellStyle name="_x0013_ 82" xfId="91"/>
    <cellStyle name="_x0013_ 83" xfId="92"/>
    <cellStyle name="_x0013_ 84" xfId="93"/>
    <cellStyle name="_x0013_ 85" xfId="94"/>
    <cellStyle name="_x0013_ 86" xfId="95"/>
    <cellStyle name="_x0013_ 87" xfId="96"/>
    <cellStyle name="_x0013_ 88" xfId="97"/>
    <cellStyle name="_x0013_ 89" xfId="98"/>
    <cellStyle name="_x0013_ 9" xfId="99"/>
    <cellStyle name="_x0013_ 90" xfId="100"/>
    <cellStyle name="_x0013_ 91" xfId="101"/>
    <cellStyle name="_x0013_ 92" xfId="102"/>
    <cellStyle name="_x0013_ 93" xfId="103"/>
    <cellStyle name="_x0013_ 94" xfId="104"/>
    <cellStyle name="_x0013_ 95" xfId="105"/>
    <cellStyle name="_x0013_ 96" xfId="106"/>
    <cellStyle name="_x0013_ 97" xfId="107"/>
    <cellStyle name="_x0013_ 98" xfId="108"/>
    <cellStyle name="_x0013_ 99" xfId="109"/>
    <cellStyle name="_x0013__BCEPS_Markups_2010.02.02" xfId="110"/>
    <cellStyle name="_x0013__Handoff Document 02-02-2010" xfId="111"/>
    <cellStyle name="_x0013__Handoff Document 02-03-2010" xfId="112"/>
    <cellStyle name="_x0013__Handoff Document 02-04-2010 v2" xfId="3670"/>
    <cellStyle name="20% - Accent1 2" xfId="113"/>
    <cellStyle name="20% - Accent1 2 2" xfId="114"/>
    <cellStyle name="20% - Accent1 2 3" xfId="3671"/>
    <cellStyle name="20% - Accent1 3" xfId="115"/>
    <cellStyle name="20% - Accent1 3 2" xfId="116"/>
    <cellStyle name="20% - Accent1 3 3" xfId="3672"/>
    <cellStyle name="20% - Accent1 4" xfId="117"/>
    <cellStyle name="20% - Accent1 4 2" xfId="118"/>
    <cellStyle name="20% - Accent1 4 3" xfId="3673"/>
    <cellStyle name="20% - Accent1 5" xfId="119"/>
    <cellStyle name="20% - Accent1 5 2" xfId="120"/>
    <cellStyle name="20% - Accent1 5 3" xfId="3674"/>
    <cellStyle name="20% - Accent2 2" xfId="121"/>
    <cellStyle name="20% - Accent2 2 2" xfId="122"/>
    <cellStyle name="20% - Accent2 2 3" xfId="3675"/>
    <cellStyle name="20% - Accent2 3" xfId="123"/>
    <cellStyle name="20% - Accent2 3 2" xfId="124"/>
    <cellStyle name="20% - Accent2 3 3" xfId="3676"/>
    <cellStyle name="20% - Accent2 4" xfId="125"/>
    <cellStyle name="20% - Accent2 4 2" xfId="126"/>
    <cellStyle name="20% - Accent2 4 3" xfId="3677"/>
    <cellStyle name="20% - Accent2 5" xfId="127"/>
    <cellStyle name="20% - Accent2 5 2" xfId="128"/>
    <cellStyle name="20% - Accent2 5 3" xfId="3678"/>
    <cellStyle name="20% - Accent3 2" xfId="129"/>
    <cellStyle name="20% - Accent3 2 2" xfId="130"/>
    <cellStyle name="20% - Accent3 2 3" xfId="3679"/>
    <cellStyle name="20% - Accent3 3" xfId="131"/>
    <cellStyle name="20% - Accent3 3 2" xfId="132"/>
    <cellStyle name="20% - Accent3 3 3" xfId="3680"/>
    <cellStyle name="20% - Accent3 4" xfId="133"/>
    <cellStyle name="20% - Accent3 4 2" xfId="134"/>
    <cellStyle name="20% - Accent3 4 3" xfId="3681"/>
    <cellStyle name="20% - Accent3 5" xfId="135"/>
    <cellStyle name="20% - Accent3 5 2" xfId="136"/>
    <cellStyle name="20% - Accent3 5 3" xfId="3682"/>
    <cellStyle name="20% - Accent4 2" xfId="137"/>
    <cellStyle name="20% - Accent4 2 2" xfId="138"/>
    <cellStyle name="20% - Accent4 2 3" xfId="3683"/>
    <cellStyle name="20% - Accent4 3" xfId="139"/>
    <cellStyle name="20% - Accent4 3 2" xfId="140"/>
    <cellStyle name="20% - Accent4 3 3" xfId="3684"/>
    <cellStyle name="20% - Accent4 4" xfId="141"/>
    <cellStyle name="20% - Accent4 4 2" xfId="142"/>
    <cellStyle name="20% - Accent4 4 3" xfId="3685"/>
    <cellStyle name="20% - Accent4 5" xfId="143"/>
    <cellStyle name="20% - Accent4 5 2" xfId="144"/>
    <cellStyle name="20% - Accent4 5 3" xfId="3686"/>
    <cellStyle name="20% - Accent5 2" xfId="145"/>
    <cellStyle name="20% - Accent5 2 2" xfId="146"/>
    <cellStyle name="20% - Accent5 2 3" xfId="3687"/>
    <cellStyle name="20% - Accent5 3" xfId="147"/>
    <cellStyle name="20% - Accent5 3 2" xfId="148"/>
    <cellStyle name="20% - Accent5 3 3" xfId="3688"/>
    <cellStyle name="20% - Accent5 4" xfId="149"/>
    <cellStyle name="20% - Accent5 4 2" xfId="150"/>
    <cellStyle name="20% - Accent5 4 3" xfId="3689"/>
    <cellStyle name="20% - Accent5 5" xfId="151"/>
    <cellStyle name="20% - Accent5 5 2" xfId="152"/>
    <cellStyle name="20% - Accent5 5 3" xfId="3690"/>
    <cellStyle name="20% - Accent6 2" xfId="153"/>
    <cellStyle name="20% - Accent6 2 2" xfId="154"/>
    <cellStyle name="20% - Accent6 2 3" xfId="3691"/>
    <cellStyle name="20% - Accent6 3" xfId="155"/>
    <cellStyle name="20% - Accent6 3 2" xfId="156"/>
    <cellStyle name="20% - Accent6 3 3" xfId="3692"/>
    <cellStyle name="20% - Accent6 4" xfId="157"/>
    <cellStyle name="20% - Accent6 4 2" xfId="158"/>
    <cellStyle name="20% - Accent6 4 3" xfId="3693"/>
    <cellStyle name="20% - Accent6 5" xfId="159"/>
    <cellStyle name="20% - Accent6 5 2" xfId="160"/>
    <cellStyle name="20% - Accent6 5 3" xfId="3694"/>
    <cellStyle name="40% - Accent1 2" xfId="161"/>
    <cellStyle name="40% - Accent1 2 2" xfId="162"/>
    <cellStyle name="40% - Accent1 2 3" xfId="3695"/>
    <cellStyle name="40% - Accent1 3" xfId="163"/>
    <cellStyle name="40% - Accent1 3 2" xfId="164"/>
    <cellStyle name="40% - Accent1 3 3" xfId="3696"/>
    <cellStyle name="40% - Accent1 4" xfId="165"/>
    <cellStyle name="40% - Accent1 4 2" xfId="166"/>
    <cellStyle name="40% - Accent1 4 3" xfId="3697"/>
    <cellStyle name="40% - Accent1 5" xfId="167"/>
    <cellStyle name="40% - Accent1 5 2" xfId="168"/>
    <cellStyle name="40% - Accent1 5 3" xfId="3698"/>
    <cellStyle name="40% - Accent2 2" xfId="169"/>
    <cellStyle name="40% - Accent2 2 2" xfId="170"/>
    <cellStyle name="40% - Accent2 2 3" xfId="3699"/>
    <cellStyle name="40% - Accent2 3" xfId="171"/>
    <cellStyle name="40% - Accent2 3 2" xfId="172"/>
    <cellStyle name="40% - Accent2 3 3" xfId="3700"/>
    <cellStyle name="40% - Accent2 4" xfId="173"/>
    <cellStyle name="40% - Accent2 4 2" xfId="174"/>
    <cellStyle name="40% - Accent2 4 3" xfId="3701"/>
    <cellStyle name="40% - Accent2 5" xfId="175"/>
    <cellStyle name="40% - Accent2 5 2" xfId="176"/>
    <cellStyle name="40% - Accent2 5 3" xfId="3702"/>
    <cellStyle name="40% - Accent3 2" xfId="177"/>
    <cellStyle name="40% - Accent3 2 2" xfId="178"/>
    <cellStyle name="40% - Accent3 2 3" xfId="3703"/>
    <cellStyle name="40% - Accent3 3" xfId="179"/>
    <cellStyle name="40% - Accent3 3 2" xfId="180"/>
    <cellStyle name="40% - Accent3 3 3" xfId="3704"/>
    <cellStyle name="40% - Accent3 4" xfId="181"/>
    <cellStyle name="40% - Accent3 4 2" xfId="182"/>
    <cellStyle name="40% - Accent3 4 3" xfId="3705"/>
    <cellStyle name="40% - Accent3 5" xfId="183"/>
    <cellStyle name="40% - Accent3 5 2" xfId="184"/>
    <cellStyle name="40% - Accent3 5 3" xfId="3706"/>
    <cellStyle name="40% - Accent4" xfId="185" builtinId="43" customBuiltin="1"/>
    <cellStyle name="40% - Accent4 10" xfId="186"/>
    <cellStyle name="40% - Accent4 2" xfId="187"/>
    <cellStyle name="40% - Accent4 2 2" xfId="188"/>
    <cellStyle name="40% - Accent4 2 3" xfId="3707"/>
    <cellStyle name="40% - Accent4 3" xfId="189"/>
    <cellStyle name="40% - Accent4 3 2" xfId="190"/>
    <cellStyle name="40% - Accent4 3 3" xfId="3708"/>
    <cellStyle name="40% - Accent4 4" xfId="191"/>
    <cellStyle name="40% - Accent4 4 2" xfId="192"/>
    <cellStyle name="40% - Accent4 4 3" xfId="3709"/>
    <cellStyle name="40% - Accent4 5" xfId="193"/>
    <cellStyle name="40% - Accent4 5 2" xfId="194"/>
    <cellStyle name="40% - Accent4 5 3" xfId="3710"/>
    <cellStyle name="40% - Accent4 6" xfId="195"/>
    <cellStyle name="40% - Accent4 7" xfId="196"/>
    <cellStyle name="40% - Accent4 8" xfId="197"/>
    <cellStyle name="40% - Accent4 9" xfId="198"/>
    <cellStyle name="40% - Accent5 2" xfId="199"/>
    <cellStyle name="40% - Accent5 2 2" xfId="200"/>
    <cellStyle name="40% - Accent5 2 3" xfId="3711"/>
    <cellStyle name="40% - Accent5 3" xfId="201"/>
    <cellStyle name="40% - Accent5 3 2" xfId="202"/>
    <cellStyle name="40% - Accent5 3 3" xfId="3712"/>
    <cellStyle name="40% - Accent5 4" xfId="203"/>
    <cellStyle name="40% - Accent5 4 2" xfId="204"/>
    <cellStyle name="40% - Accent5 4 3" xfId="3713"/>
    <cellStyle name="40% - Accent5 5" xfId="205"/>
    <cellStyle name="40% - Accent5 5 2" xfId="206"/>
    <cellStyle name="40% - Accent5 5 3" xfId="3714"/>
    <cellStyle name="40% - Accent6 2" xfId="207"/>
    <cellStyle name="40% - Accent6 2 2" xfId="208"/>
    <cellStyle name="40% - Accent6 2 3" xfId="3715"/>
    <cellStyle name="40% - Accent6 3" xfId="209"/>
    <cellStyle name="40% - Accent6 3 2" xfId="210"/>
    <cellStyle name="40% - Accent6 3 3" xfId="3716"/>
    <cellStyle name="40% - Accent6 4" xfId="211"/>
    <cellStyle name="40% - Accent6 4 2" xfId="212"/>
    <cellStyle name="40% - Accent6 4 3" xfId="3717"/>
    <cellStyle name="40% - Accent6 5" xfId="213"/>
    <cellStyle name="40% - Accent6 5 2" xfId="214"/>
    <cellStyle name="40% - Accent6 5 3" xfId="3718"/>
    <cellStyle name="60% - Accent1 2" xfId="215"/>
    <cellStyle name="60% - Accent1 2 2" xfId="216"/>
    <cellStyle name="60% - Accent1 2 3" xfId="3719"/>
    <cellStyle name="60% - Accent1 3" xfId="217"/>
    <cellStyle name="60% - Accent1 3 2" xfId="218"/>
    <cellStyle name="60% - Accent1 3 3" xfId="3720"/>
    <cellStyle name="60% - Accent1 4" xfId="219"/>
    <cellStyle name="60% - Accent1 4 2" xfId="220"/>
    <cellStyle name="60% - Accent1 4 3" xfId="3721"/>
    <cellStyle name="60% - Accent1 5" xfId="221"/>
    <cellStyle name="60% - Accent1 5 2" xfId="222"/>
    <cellStyle name="60% - Accent1 5 3" xfId="3722"/>
    <cellStyle name="60% - Accent2 2" xfId="223"/>
    <cellStyle name="60% - Accent2 2 2" xfId="224"/>
    <cellStyle name="60% - Accent2 2 3" xfId="3723"/>
    <cellStyle name="60% - Accent2 3" xfId="225"/>
    <cellStyle name="60% - Accent2 3 2" xfId="226"/>
    <cellStyle name="60% - Accent2 3 3" xfId="3724"/>
    <cellStyle name="60% - Accent2 4" xfId="227"/>
    <cellStyle name="60% - Accent2 4 2" xfId="228"/>
    <cellStyle name="60% - Accent2 4 3" xfId="3725"/>
    <cellStyle name="60% - Accent2 5" xfId="229"/>
    <cellStyle name="60% - Accent2 5 2" xfId="230"/>
    <cellStyle name="60% - Accent2 5 3" xfId="3726"/>
    <cellStyle name="60% - Accent3 2" xfId="231"/>
    <cellStyle name="60% - Accent3 2 2" xfId="232"/>
    <cellStyle name="60% - Accent3 2 3" xfId="3727"/>
    <cellStyle name="60% - Accent3 3" xfId="233"/>
    <cellStyle name="60% - Accent3 3 2" xfId="234"/>
    <cellStyle name="60% - Accent3 3 3" xfId="3728"/>
    <cellStyle name="60% - Accent3 4" xfId="235"/>
    <cellStyle name="60% - Accent3 4 2" xfId="236"/>
    <cellStyle name="60% - Accent3 4 3" xfId="3729"/>
    <cellStyle name="60% - Accent3 5" xfId="237"/>
    <cellStyle name="60% - Accent3 5 2" xfId="238"/>
    <cellStyle name="60% - Accent3 5 3" xfId="3730"/>
    <cellStyle name="60% - Accent4 2" xfId="239"/>
    <cellStyle name="60% - Accent4 2 2" xfId="240"/>
    <cellStyle name="60% - Accent4 2 3" xfId="3731"/>
    <cellStyle name="60% - Accent4 3" xfId="241"/>
    <cellStyle name="60% - Accent4 3 2" xfId="242"/>
    <cellStyle name="60% - Accent4 3 3" xfId="3732"/>
    <cellStyle name="60% - Accent4 4" xfId="243"/>
    <cellStyle name="60% - Accent4 4 2" xfId="244"/>
    <cellStyle name="60% - Accent4 4 3" xfId="3733"/>
    <cellStyle name="60% - Accent4 5" xfId="245"/>
    <cellStyle name="60% - Accent4 5 2" xfId="246"/>
    <cellStyle name="60% - Accent4 5 3" xfId="3734"/>
    <cellStyle name="60% - Accent5 2" xfId="247"/>
    <cellStyle name="60% - Accent5 2 2" xfId="248"/>
    <cellStyle name="60% - Accent5 2 3" xfId="3735"/>
    <cellStyle name="60% - Accent5 3" xfId="249"/>
    <cellStyle name="60% - Accent5 3 2" xfId="250"/>
    <cellStyle name="60% - Accent5 3 3" xfId="3736"/>
    <cellStyle name="60% - Accent5 4" xfId="251"/>
    <cellStyle name="60% - Accent5 4 2" xfId="252"/>
    <cellStyle name="60% - Accent5 4 3" xfId="3737"/>
    <cellStyle name="60% - Accent5 5" xfId="253"/>
    <cellStyle name="60% - Accent5 5 2" xfId="254"/>
    <cellStyle name="60% - Accent5 5 3" xfId="3738"/>
    <cellStyle name="60% - Accent6 2" xfId="255"/>
    <cellStyle name="60% - Accent6 2 2" xfId="256"/>
    <cellStyle name="60% - Accent6 2 3" xfId="3739"/>
    <cellStyle name="60% - Accent6 3" xfId="257"/>
    <cellStyle name="60% - Accent6 3 2" xfId="258"/>
    <cellStyle name="60% - Accent6 3 3" xfId="3740"/>
    <cellStyle name="60% - Accent6 4" xfId="259"/>
    <cellStyle name="60% - Accent6 4 2" xfId="260"/>
    <cellStyle name="60% - Accent6 4 3" xfId="3741"/>
    <cellStyle name="60% - Accent6 5" xfId="261"/>
    <cellStyle name="60% - Accent6 5 2" xfId="262"/>
    <cellStyle name="60% - Accent6 5 3" xfId="3742"/>
    <cellStyle name="Accent1 2" xfId="263"/>
    <cellStyle name="Accent1 2 2" xfId="264"/>
    <cellStyle name="Accent1 2 3" xfId="3743"/>
    <cellStyle name="Accent1 3" xfId="265"/>
    <cellStyle name="Accent1 3 2" xfId="266"/>
    <cellStyle name="Accent1 3 3" xfId="3744"/>
    <cellStyle name="Accent1 4" xfId="267"/>
    <cellStyle name="Accent1 4 2" xfId="268"/>
    <cellStyle name="Accent1 4 3" xfId="3745"/>
    <cellStyle name="Accent1 5" xfId="269"/>
    <cellStyle name="Accent1 5 2" xfId="270"/>
    <cellStyle name="Accent1 5 3" xfId="3746"/>
    <cellStyle name="Accent2 2" xfId="271"/>
    <cellStyle name="Accent2 2 2" xfId="272"/>
    <cellStyle name="Accent2 2 3" xfId="3747"/>
    <cellStyle name="Accent2 3" xfId="273"/>
    <cellStyle name="Accent2 3 2" xfId="274"/>
    <cellStyle name="Accent2 3 3" xfId="3748"/>
    <cellStyle name="Accent2 4" xfId="275"/>
    <cellStyle name="Accent2 4 2" xfId="276"/>
    <cellStyle name="Accent2 4 3" xfId="3749"/>
    <cellStyle name="Accent2 5" xfId="277"/>
    <cellStyle name="Accent2 5 2" xfId="278"/>
    <cellStyle name="Accent2 5 3" xfId="3750"/>
    <cellStyle name="Accent3 2" xfId="279"/>
    <cellStyle name="Accent3 2 2" xfId="280"/>
    <cellStyle name="Accent3 2 3" xfId="3751"/>
    <cellStyle name="Accent3 3" xfId="281"/>
    <cellStyle name="Accent3 3 2" xfId="282"/>
    <cellStyle name="Accent3 3 3" xfId="3752"/>
    <cellStyle name="Accent3 4" xfId="283"/>
    <cellStyle name="Accent3 4 2" xfId="284"/>
    <cellStyle name="Accent3 4 3" xfId="3753"/>
    <cellStyle name="Accent3 5" xfId="285"/>
    <cellStyle name="Accent3 5 2" xfId="286"/>
    <cellStyle name="Accent3 5 3" xfId="3754"/>
    <cellStyle name="Accent4 2" xfId="287"/>
    <cellStyle name="Accent4 2 2" xfId="288"/>
    <cellStyle name="Accent4 2 3" xfId="3755"/>
    <cellStyle name="Accent4 3" xfId="289"/>
    <cellStyle name="Accent4 3 2" xfId="290"/>
    <cellStyle name="Accent4 3 3" xfId="3756"/>
    <cellStyle name="Accent4 4" xfId="291"/>
    <cellStyle name="Accent4 4 2" xfId="292"/>
    <cellStyle name="Accent4 4 3" xfId="3757"/>
    <cellStyle name="Accent4 5" xfId="293"/>
    <cellStyle name="Accent4 5 2" xfId="294"/>
    <cellStyle name="Accent4 5 3" xfId="3758"/>
    <cellStyle name="Accent5 2" xfId="295"/>
    <cellStyle name="Accent5 2 2" xfId="296"/>
    <cellStyle name="Accent5 2 3" xfId="3759"/>
    <cellStyle name="Accent5 3" xfId="297"/>
    <cellStyle name="Accent5 3 2" xfId="298"/>
    <cellStyle name="Accent5 3 3" xfId="3760"/>
    <cellStyle name="Accent5 4" xfId="299"/>
    <cellStyle name="Accent5 4 2" xfId="300"/>
    <cellStyle name="Accent5 4 3" xfId="3761"/>
    <cellStyle name="Accent5 5" xfId="301"/>
    <cellStyle name="Accent5 5 2" xfId="302"/>
    <cellStyle name="Accent5 5 3" xfId="3762"/>
    <cellStyle name="Accent6 2" xfId="303"/>
    <cellStyle name="Accent6 2 2" xfId="304"/>
    <cellStyle name="Accent6 2 3" xfId="3763"/>
    <cellStyle name="Accent6 3" xfId="305"/>
    <cellStyle name="Accent6 3 2" xfId="306"/>
    <cellStyle name="Accent6 3 3" xfId="3764"/>
    <cellStyle name="Accent6 4" xfId="307"/>
    <cellStyle name="Accent6 4 2" xfId="308"/>
    <cellStyle name="Accent6 4 3" xfId="3765"/>
    <cellStyle name="Accent6 5" xfId="309"/>
    <cellStyle name="Accent6 5 2" xfId="310"/>
    <cellStyle name="Accent6 5 3" xfId="3766"/>
    <cellStyle name="Bad 2" xfId="311"/>
    <cellStyle name="Bad 2 2" xfId="312"/>
    <cellStyle name="Bad 2 3" xfId="3767"/>
    <cellStyle name="Bad 3" xfId="313"/>
    <cellStyle name="Bad 3 2" xfId="314"/>
    <cellStyle name="Bad 3 3" xfId="3768"/>
    <cellStyle name="Bad 4" xfId="315"/>
    <cellStyle name="Bad 4 2" xfId="316"/>
    <cellStyle name="Bad 4 3" xfId="3769"/>
    <cellStyle name="Bad 5" xfId="317"/>
    <cellStyle name="Bad 5 2" xfId="318"/>
    <cellStyle name="Bad 5 3" xfId="3770"/>
    <cellStyle name="Calculation 2" xfId="319"/>
    <cellStyle name="Calculation 2 2" xfId="320"/>
    <cellStyle name="Calculation 2 3" xfId="3771"/>
    <cellStyle name="Calculation 3" xfId="321"/>
    <cellStyle name="Calculation 3 2" xfId="322"/>
    <cellStyle name="Calculation 3 3" xfId="3772"/>
    <cellStyle name="Calculation 4" xfId="323"/>
    <cellStyle name="Calculation 4 2" xfId="324"/>
    <cellStyle name="Calculation 4 3" xfId="3773"/>
    <cellStyle name="Calculation 5" xfId="325"/>
    <cellStyle name="Calculation 5 2" xfId="326"/>
    <cellStyle name="Calculation 5 3" xfId="3774"/>
    <cellStyle name="Check Cell 2" xfId="327"/>
    <cellStyle name="Check Cell 2 2" xfId="328"/>
    <cellStyle name="Check Cell 2 3" xfId="3775"/>
    <cellStyle name="Check Cell 3" xfId="329"/>
    <cellStyle name="Check Cell 3 2" xfId="330"/>
    <cellStyle name="Check Cell 3 3" xfId="3776"/>
    <cellStyle name="Check Cell 4" xfId="331"/>
    <cellStyle name="Check Cell 4 2" xfId="332"/>
    <cellStyle name="Check Cell 4 3" xfId="3777"/>
    <cellStyle name="Check Cell 5" xfId="333"/>
    <cellStyle name="Check Cell 5 2" xfId="334"/>
    <cellStyle name="Check Cell 5 3" xfId="3778"/>
    <cellStyle name="Comma" xfId="335" builtinId="3"/>
    <cellStyle name="Comma 10" xfId="336"/>
    <cellStyle name="Comma 10 2" xfId="3779"/>
    <cellStyle name="Comma 2" xfId="3651"/>
    <cellStyle name="Comma 2 2" xfId="830"/>
    <cellStyle name="Comma 2 3" xfId="831"/>
    <cellStyle name="Comma 2 4" xfId="832"/>
    <cellStyle name="Comma 2 5" xfId="833"/>
    <cellStyle name="Comma 2 6" xfId="834"/>
    <cellStyle name="Comma 2 7" xfId="835"/>
    <cellStyle name="Comma 2 8" xfId="836"/>
    <cellStyle name="Comma 3" xfId="3780"/>
    <cellStyle name="Comma 4" xfId="3781"/>
    <cellStyle name="Comma 5" xfId="837"/>
    <cellStyle name="Currency 10" xfId="838"/>
    <cellStyle name="Currency 10 10" xfId="839"/>
    <cellStyle name="Currency 10 10 2" xfId="840"/>
    <cellStyle name="Currency 10 11" xfId="841"/>
    <cellStyle name="Currency 10 11 2" xfId="842"/>
    <cellStyle name="Currency 10 12" xfId="843"/>
    <cellStyle name="Currency 10 12 2" xfId="844"/>
    <cellStyle name="Currency 10 13" xfId="845"/>
    <cellStyle name="Currency 10 13 2" xfId="846"/>
    <cellStyle name="Currency 10 14" xfId="847"/>
    <cellStyle name="Currency 10 14 2" xfId="848"/>
    <cellStyle name="Currency 10 15" xfId="849"/>
    <cellStyle name="Currency 10 15 2" xfId="850"/>
    <cellStyle name="Currency 10 16" xfId="851"/>
    <cellStyle name="Currency 10 16 2" xfId="852"/>
    <cellStyle name="Currency 10 17" xfId="853"/>
    <cellStyle name="Currency 10 17 2" xfId="854"/>
    <cellStyle name="Currency 10 18" xfId="855"/>
    <cellStyle name="Currency 10 18 2" xfId="856"/>
    <cellStyle name="Currency 10 19" xfId="857"/>
    <cellStyle name="Currency 10 2" xfId="858"/>
    <cellStyle name="Currency 10 2 2" xfId="859"/>
    <cellStyle name="Currency 10 20" xfId="860"/>
    <cellStyle name="Currency 10 21" xfId="861"/>
    <cellStyle name="Currency 10 22" xfId="862"/>
    <cellStyle name="Currency 10 23" xfId="863"/>
    <cellStyle name="Currency 10 24" xfId="864"/>
    <cellStyle name="Currency 10 25" xfId="865"/>
    <cellStyle name="Currency 10 26" xfId="866"/>
    <cellStyle name="Currency 10 27" xfId="867"/>
    <cellStyle name="Currency 10 28" xfId="868"/>
    <cellStyle name="Currency 10 29" xfId="869"/>
    <cellStyle name="Currency 10 3" xfId="870"/>
    <cellStyle name="Currency 10 3 2" xfId="871"/>
    <cellStyle name="Currency 10 30" xfId="872"/>
    <cellStyle name="Currency 10 31" xfId="873"/>
    <cellStyle name="Currency 10 32" xfId="874"/>
    <cellStyle name="Currency 10 33" xfId="875"/>
    <cellStyle name="Currency 10 34" xfId="876"/>
    <cellStyle name="Currency 10 35" xfId="877"/>
    <cellStyle name="Currency 10 36" xfId="878"/>
    <cellStyle name="Currency 10 37" xfId="879"/>
    <cellStyle name="Currency 10 38" xfId="880"/>
    <cellStyle name="Currency 10 38 2" xfId="881"/>
    <cellStyle name="Currency 10 38 3" xfId="882"/>
    <cellStyle name="Currency 10 38 4" xfId="883"/>
    <cellStyle name="Currency 10 38 5" xfId="884"/>
    <cellStyle name="Currency 10 38 6" xfId="885"/>
    <cellStyle name="Currency 10 39" xfId="886"/>
    <cellStyle name="Currency 10 4" xfId="887"/>
    <cellStyle name="Currency 10 4 2" xfId="888"/>
    <cellStyle name="Currency 10 40" xfId="889"/>
    <cellStyle name="Currency 10 41" xfId="890"/>
    <cellStyle name="Currency 10 42" xfId="891"/>
    <cellStyle name="Currency 10 5" xfId="892"/>
    <cellStyle name="Currency 10 5 2" xfId="893"/>
    <cellStyle name="Currency 10 6" xfId="894"/>
    <cellStyle name="Currency 10 6 2" xfId="895"/>
    <cellStyle name="Currency 10 7" xfId="896"/>
    <cellStyle name="Currency 10 7 2" xfId="897"/>
    <cellStyle name="Currency 10 8" xfId="898"/>
    <cellStyle name="Currency 10 8 2" xfId="899"/>
    <cellStyle name="Currency 10 9" xfId="900"/>
    <cellStyle name="Currency 10 9 2" xfId="901"/>
    <cellStyle name="Currency 11" xfId="902"/>
    <cellStyle name="Currency 11 10" xfId="903"/>
    <cellStyle name="Currency 11 10 2" xfId="904"/>
    <cellStyle name="Currency 11 11" xfId="905"/>
    <cellStyle name="Currency 11 11 2" xfId="906"/>
    <cellStyle name="Currency 11 12" xfId="907"/>
    <cellStyle name="Currency 11 12 2" xfId="908"/>
    <cellStyle name="Currency 11 13" xfId="909"/>
    <cellStyle name="Currency 11 13 2" xfId="910"/>
    <cellStyle name="Currency 11 14" xfId="911"/>
    <cellStyle name="Currency 11 14 2" xfId="912"/>
    <cellStyle name="Currency 11 15" xfId="913"/>
    <cellStyle name="Currency 11 15 2" xfId="914"/>
    <cellStyle name="Currency 11 16" xfId="915"/>
    <cellStyle name="Currency 11 16 2" xfId="916"/>
    <cellStyle name="Currency 11 17" xfId="917"/>
    <cellStyle name="Currency 11 17 2" xfId="918"/>
    <cellStyle name="Currency 11 18" xfId="919"/>
    <cellStyle name="Currency 11 18 2" xfId="920"/>
    <cellStyle name="Currency 11 19" xfId="921"/>
    <cellStyle name="Currency 11 2" xfId="922"/>
    <cellStyle name="Currency 11 2 2" xfId="923"/>
    <cellStyle name="Currency 11 20" xfId="924"/>
    <cellStyle name="Currency 11 21" xfId="925"/>
    <cellStyle name="Currency 11 22" xfId="926"/>
    <cellStyle name="Currency 11 23" xfId="927"/>
    <cellStyle name="Currency 11 24" xfId="928"/>
    <cellStyle name="Currency 11 25" xfId="929"/>
    <cellStyle name="Currency 11 26" xfId="930"/>
    <cellStyle name="Currency 11 27" xfId="931"/>
    <cellStyle name="Currency 11 28" xfId="932"/>
    <cellStyle name="Currency 11 29" xfId="933"/>
    <cellStyle name="Currency 11 3" xfId="934"/>
    <cellStyle name="Currency 11 3 2" xfId="935"/>
    <cellStyle name="Currency 11 30" xfId="936"/>
    <cellStyle name="Currency 11 31" xfId="937"/>
    <cellStyle name="Currency 11 32" xfId="938"/>
    <cellStyle name="Currency 11 33" xfId="939"/>
    <cellStyle name="Currency 11 34" xfId="940"/>
    <cellStyle name="Currency 11 35" xfId="941"/>
    <cellStyle name="Currency 11 36" xfId="942"/>
    <cellStyle name="Currency 11 37" xfId="943"/>
    <cellStyle name="Currency 11 38" xfId="944"/>
    <cellStyle name="Currency 11 38 2" xfId="945"/>
    <cellStyle name="Currency 11 38 3" xfId="946"/>
    <cellStyle name="Currency 11 38 4" xfId="947"/>
    <cellStyle name="Currency 11 38 5" xfId="948"/>
    <cellStyle name="Currency 11 38 6" xfId="949"/>
    <cellStyle name="Currency 11 39" xfId="950"/>
    <cellStyle name="Currency 11 4" xfId="951"/>
    <cellStyle name="Currency 11 4 2" xfId="952"/>
    <cellStyle name="Currency 11 40" xfId="953"/>
    <cellStyle name="Currency 11 41" xfId="954"/>
    <cellStyle name="Currency 11 42" xfId="955"/>
    <cellStyle name="Currency 11 5" xfId="956"/>
    <cellStyle name="Currency 11 5 2" xfId="957"/>
    <cellStyle name="Currency 11 6" xfId="958"/>
    <cellStyle name="Currency 11 6 2" xfId="959"/>
    <cellStyle name="Currency 11 7" xfId="960"/>
    <cellStyle name="Currency 11 7 2" xfId="961"/>
    <cellStyle name="Currency 11 8" xfId="962"/>
    <cellStyle name="Currency 11 8 2" xfId="963"/>
    <cellStyle name="Currency 11 9" xfId="964"/>
    <cellStyle name="Currency 11 9 2" xfId="965"/>
    <cellStyle name="Currency 12" xfId="966"/>
    <cellStyle name="Currency 12 10" xfId="967"/>
    <cellStyle name="Currency 12 10 2" xfId="968"/>
    <cellStyle name="Currency 12 11" xfId="969"/>
    <cellStyle name="Currency 12 11 2" xfId="970"/>
    <cellStyle name="Currency 12 12" xfId="971"/>
    <cellStyle name="Currency 12 12 2" xfId="972"/>
    <cellStyle name="Currency 12 13" xfId="973"/>
    <cellStyle name="Currency 12 13 2" xfId="974"/>
    <cellStyle name="Currency 12 14" xfId="975"/>
    <cellStyle name="Currency 12 14 2" xfId="976"/>
    <cellStyle name="Currency 12 15" xfId="977"/>
    <cellStyle name="Currency 12 15 2" xfId="978"/>
    <cellStyle name="Currency 12 16" xfId="979"/>
    <cellStyle name="Currency 12 16 2" xfId="980"/>
    <cellStyle name="Currency 12 17" xfId="981"/>
    <cellStyle name="Currency 12 17 2" xfId="982"/>
    <cellStyle name="Currency 12 18" xfId="983"/>
    <cellStyle name="Currency 12 18 2" xfId="984"/>
    <cellStyle name="Currency 12 19" xfId="985"/>
    <cellStyle name="Currency 12 2" xfId="986"/>
    <cellStyle name="Currency 12 2 2" xfId="987"/>
    <cellStyle name="Currency 12 20" xfId="988"/>
    <cellStyle name="Currency 12 21" xfId="989"/>
    <cellStyle name="Currency 12 22" xfId="990"/>
    <cellStyle name="Currency 12 23" xfId="991"/>
    <cellStyle name="Currency 12 24" xfId="992"/>
    <cellStyle name="Currency 12 25" xfId="993"/>
    <cellStyle name="Currency 12 26" xfId="994"/>
    <cellStyle name="Currency 12 27" xfId="995"/>
    <cellStyle name="Currency 12 28" xfId="996"/>
    <cellStyle name="Currency 12 29" xfId="997"/>
    <cellStyle name="Currency 12 3" xfId="998"/>
    <cellStyle name="Currency 12 3 2" xfId="999"/>
    <cellStyle name="Currency 12 30" xfId="1000"/>
    <cellStyle name="Currency 12 31" xfId="1001"/>
    <cellStyle name="Currency 12 32" xfId="1002"/>
    <cellStyle name="Currency 12 33" xfId="1003"/>
    <cellStyle name="Currency 12 34" xfId="1004"/>
    <cellStyle name="Currency 12 35" xfId="1005"/>
    <cellStyle name="Currency 12 36" xfId="1006"/>
    <cellStyle name="Currency 12 37" xfId="1007"/>
    <cellStyle name="Currency 12 38" xfId="1008"/>
    <cellStyle name="Currency 12 38 2" xfId="1009"/>
    <cellStyle name="Currency 12 38 3" xfId="1010"/>
    <cellStyle name="Currency 12 38 4" xfId="1011"/>
    <cellStyle name="Currency 12 38 5" xfId="1012"/>
    <cellStyle name="Currency 12 38 6" xfId="1013"/>
    <cellStyle name="Currency 12 39" xfId="1014"/>
    <cellStyle name="Currency 12 4" xfId="1015"/>
    <cellStyle name="Currency 12 4 2" xfId="1016"/>
    <cellStyle name="Currency 12 40" xfId="1017"/>
    <cellStyle name="Currency 12 41" xfId="1018"/>
    <cellStyle name="Currency 12 42" xfId="1019"/>
    <cellStyle name="Currency 12 5" xfId="1020"/>
    <cellStyle name="Currency 12 5 2" xfId="1021"/>
    <cellStyle name="Currency 12 6" xfId="1022"/>
    <cellStyle name="Currency 12 6 2" xfId="1023"/>
    <cellStyle name="Currency 12 7" xfId="1024"/>
    <cellStyle name="Currency 12 7 2" xfId="1025"/>
    <cellStyle name="Currency 12 8" xfId="1026"/>
    <cellStyle name="Currency 12 8 2" xfId="1027"/>
    <cellStyle name="Currency 12 9" xfId="1028"/>
    <cellStyle name="Currency 12 9 2" xfId="1029"/>
    <cellStyle name="Currency 13" xfId="1030"/>
    <cellStyle name="Currency 13 10" xfId="1031"/>
    <cellStyle name="Currency 13 10 2" xfId="1032"/>
    <cellStyle name="Currency 13 11" xfId="1033"/>
    <cellStyle name="Currency 13 11 2" xfId="1034"/>
    <cellStyle name="Currency 13 12" xfId="1035"/>
    <cellStyle name="Currency 13 12 2" xfId="1036"/>
    <cellStyle name="Currency 13 13" xfId="1037"/>
    <cellStyle name="Currency 13 13 2" xfId="1038"/>
    <cellStyle name="Currency 13 14" xfId="1039"/>
    <cellStyle name="Currency 13 14 2" xfId="1040"/>
    <cellStyle name="Currency 13 15" xfId="1041"/>
    <cellStyle name="Currency 13 15 2" xfId="1042"/>
    <cellStyle name="Currency 13 16" xfId="1043"/>
    <cellStyle name="Currency 13 16 2" xfId="1044"/>
    <cellStyle name="Currency 13 17" xfId="1045"/>
    <cellStyle name="Currency 13 17 2" xfId="1046"/>
    <cellStyle name="Currency 13 18" xfId="1047"/>
    <cellStyle name="Currency 13 18 2" xfId="1048"/>
    <cellStyle name="Currency 13 19" xfId="1049"/>
    <cellStyle name="Currency 13 2" xfId="1050"/>
    <cellStyle name="Currency 13 2 2" xfId="1051"/>
    <cellStyle name="Currency 13 20" xfId="1052"/>
    <cellStyle name="Currency 13 21" xfId="1053"/>
    <cellStyle name="Currency 13 22" xfId="1054"/>
    <cellStyle name="Currency 13 23" xfId="1055"/>
    <cellStyle name="Currency 13 24" xfId="1056"/>
    <cellStyle name="Currency 13 25" xfId="1057"/>
    <cellStyle name="Currency 13 26" xfId="1058"/>
    <cellStyle name="Currency 13 27" xfId="1059"/>
    <cellStyle name="Currency 13 28" xfId="1060"/>
    <cellStyle name="Currency 13 29" xfId="1061"/>
    <cellStyle name="Currency 13 3" xfId="1062"/>
    <cellStyle name="Currency 13 3 2" xfId="1063"/>
    <cellStyle name="Currency 13 30" xfId="1064"/>
    <cellStyle name="Currency 13 31" xfId="1065"/>
    <cellStyle name="Currency 13 32" xfId="1066"/>
    <cellStyle name="Currency 13 33" xfId="1067"/>
    <cellStyle name="Currency 13 34" xfId="1068"/>
    <cellStyle name="Currency 13 35" xfId="1069"/>
    <cellStyle name="Currency 13 36" xfId="1070"/>
    <cellStyle name="Currency 13 37" xfId="1071"/>
    <cellStyle name="Currency 13 38" xfId="1072"/>
    <cellStyle name="Currency 13 38 2" xfId="1073"/>
    <cellStyle name="Currency 13 38 3" xfId="1074"/>
    <cellStyle name="Currency 13 38 4" xfId="1075"/>
    <cellStyle name="Currency 13 38 5" xfId="1076"/>
    <cellStyle name="Currency 13 38 6" xfId="1077"/>
    <cellStyle name="Currency 13 39" xfId="1078"/>
    <cellStyle name="Currency 13 4" xfId="1079"/>
    <cellStyle name="Currency 13 4 2" xfId="1080"/>
    <cellStyle name="Currency 13 40" xfId="1081"/>
    <cellStyle name="Currency 13 41" xfId="1082"/>
    <cellStyle name="Currency 13 42" xfId="1083"/>
    <cellStyle name="Currency 13 5" xfId="1084"/>
    <cellStyle name="Currency 13 5 2" xfId="1085"/>
    <cellStyle name="Currency 13 6" xfId="1086"/>
    <cellStyle name="Currency 13 6 2" xfId="1087"/>
    <cellStyle name="Currency 13 7" xfId="1088"/>
    <cellStyle name="Currency 13 7 2" xfId="1089"/>
    <cellStyle name="Currency 13 8" xfId="1090"/>
    <cellStyle name="Currency 13 8 2" xfId="1091"/>
    <cellStyle name="Currency 13 9" xfId="1092"/>
    <cellStyle name="Currency 13 9 2" xfId="1093"/>
    <cellStyle name="Currency 14" xfId="1094"/>
    <cellStyle name="Currency 14 10" xfId="1095"/>
    <cellStyle name="Currency 14 10 2" xfId="1096"/>
    <cellStyle name="Currency 14 11" xfId="1097"/>
    <cellStyle name="Currency 14 11 2" xfId="1098"/>
    <cellStyle name="Currency 14 12" xfId="1099"/>
    <cellStyle name="Currency 14 12 2" xfId="1100"/>
    <cellStyle name="Currency 14 13" xfId="1101"/>
    <cellStyle name="Currency 14 13 2" xfId="1102"/>
    <cellStyle name="Currency 14 14" xfId="1103"/>
    <cellStyle name="Currency 14 14 2" xfId="1104"/>
    <cellStyle name="Currency 14 15" xfId="1105"/>
    <cellStyle name="Currency 14 15 2" xfId="1106"/>
    <cellStyle name="Currency 14 16" xfId="1107"/>
    <cellStyle name="Currency 14 16 2" xfId="1108"/>
    <cellStyle name="Currency 14 17" xfId="1109"/>
    <cellStyle name="Currency 14 17 2" xfId="1110"/>
    <cellStyle name="Currency 14 18" xfId="1111"/>
    <cellStyle name="Currency 14 18 2" xfId="1112"/>
    <cellStyle name="Currency 14 19" xfId="1113"/>
    <cellStyle name="Currency 14 2" xfId="1114"/>
    <cellStyle name="Currency 14 2 2" xfId="1115"/>
    <cellStyle name="Currency 14 20" xfId="1116"/>
    <cellStyle name="Currency 14 21" xfId="1117"/>
    <cellStyle name="Currency 14 22" xfId="1118"/>
    <cellStyle name="Currency 14 23" xfId="1119"/>
    <cellStyle name="Currency 14 24" xfId="1120"/>
    <cellStyle name="Currency 14 25" xfId="1121"/>
    <cellStyle name="Currency 14 26" xfId="1122"/>
    <cellStyle name="Currency 14 27" xfId="1123"/>
    <cellStyle name="Currency 14 28" xfId="1124"/>
    <cellStyle name="Currency 14 29" xfId="1125"/>
    <cellStyle name="Currency 14 3" xfId="1126"/>
    <cellStyle name="Currency 14 3 2" xfId="1127"/>
    <cellStyle name="Currency 14 30" xfId="1128"/>
    <cellStyle name="Currency 14 31" xfId="1129"/>
    <cellStyle name="Currency 14 32" xfId="1130"/>
    <cellStyle name="Currency 14 33" xfId="1131"/>
    <cellStyle name="Currency 14 34" xfId="1132"/>
    <cellStyle name="Currency 14 35" xfId="1133"/>
    <cellStyle name="Currency 14 36" xfId="1134"/>
    <cellStyle name="Currency 14 37" xfId="1135"/>
    <cellStyle name="Currency 14 38" xfId="1136"/>
    <cellStyle name="Currency 14 38 2" xfId="1137"/>
    <cellStyle name="Currency 14 38 3" xfId="1138"/>
    <cellStyle name="Currency 14 38 4" xfId="1139"/>
    <cellStyle name="Currency 14 38 5" xfId="1140"/>
    <cellStyle name="Currency 14 38 6" xfId="1141"/>
    <cellStyle name="Currency 14 39" xfId="1142"/>
    <cellStyle name="Currency 14 4" xfId="1143"/>
    <cellStyle name="Currency 14 4 2" xfId="1144"/>
    <cellStyle name="Currency 14 40" xfId="1145"/>
    <cellStyle name="Currency 14 41" xfId="1146"/>
    <cellStyle name="Currency 14 42" xfId="1147"/>
    <cellStyle name="Currency 14 5" xfId="1148"/>
    <cellStyle name="Currency 14 5 2" xfId="1149"/>
    <cellStyle name="Currency 14 6" xfId="1150"/>
    <cellStyle name="Currency 14 6 2" xfId="1151"/>
    <cellStyle name="Currency 14 7" xfId="1152"/>
    <cellStyle name="Currency 14 7 2" xfId="1153"/>
    <cellStyle name="Currency 14 8" xfId="1154"/>
    <cellStyle name="Currency 14 8 2" xfId="1155"/>
    <cellStyle name="Currency 14 9" xfId="1156"/>
    <cellStyle name="Currency 14 9 2" xfId="1157"/>
    <cellStyle name="Currency 15" xfId="1158"/>
    <cellStyle name="Currency 15 10" xfId="1159"/>
    <cellStyle name="Currency 15 10 2" xfId="1160"/>
    <cellStyle name="Currency 15 11" xfId="1161"/>
    <cellStyle name="Currency 15 11 2" xfId="1162"/>
    <cellStyle name="Currency 15 12" xfId="1163"/>
    <cellStyle name="Currency 15 12 2" xfId="1164"/>
    <cellStyle name="Currency 15 13" xfId="1165"/>
    <cellStyle name="Currency 15 13 2" xfId="1166"/>
    <cellStyle name="Currency 15 14" xfId="1167"/>
    <cellStyle name="Currency 15 14 2" xfId="1168"/>
    <cellStyle name="Currency 15 15" xfId="1169"/>
    <cellStyle name="Currency 15 15 2" xfId="1170"/>
    <cellStyle name="Currency 15 16" xfId="1171"/>
    <cellStyle name="Currency 15 16 2" xfId="1172"/>
    <cellStyle name="Currency 15 17" xfId="1173"/>
    <cellStyle name="Currency 15 17 2" xfId="1174"/>
    <cellStyle name="Currency 15 18" xfId="1175"/>
    <cellStyle name="Currency 15 18 2" xfId="1176"/>
    <cellStyle name="Currency 15 19" xfId="1177"/>
    <cellStyle name="Currency 15 2" xfId="1178"/>
    <cellStyle name="Currency 15 2 2" xfId="1179"/>
    <cellStyle name="Currency 15 20" xfId="1180"/>
    <cellStyle name="Currency 15 21" xfId="1181"/>
    <cellStyle name="Currency 15 22" xfId="1182"/>
    <cellStyle name="Currency 15 23" xfId="1183"/>
    <cellStyle name="Currency 15 24" xfId="1184"/>
    <cellStyle name="Currency 15 25" xfId="1185"/>
    <cellStyle name="Currency 15 26" xfId="1186"/>
    <cellStyle name="Currency 15 27" xfId="1187"/>
    <cellStyle name="Currency 15 28" xfId="1188"/>
    <cellStyle name="Currency 15 29" xfId="1189"/>
    <cellStyle name="Currency 15 3" xfId="1190"/>
    <cellStyle name="Currency 15 3 2" xfId="1191"/>
    <cellStyle name="Currency 15 30" xfId="1192"/>
    <cellStyle name="Currency 15 31" xfId="1193"/>
    <cellStyle name="Currency 15 32" xfId="1194"/>
    <cellStyle name="Currency 15 33" xfId="1195"/>
    <cellStyle name="Currency 15 34" xfId="1196"/>
    <cellStyle name="Currency 15 35" xfId="1197"/>
    <cellStyle name="Currency 15 36" xfId="1198"/>
    <cellStyle name="Currency 15 37" xfId="1199"/>
    <cellStyle name="Currency 15 38" xfId="1200"/>
    <cellStyle name="Currency 15 38 2" xfId="1201"/>
    <cellStyle name="Currency 15 38 3" xfId="1202"/>
    <cellStyle name="Currency 15 38 4" xfId="1203"/>
    <cellStyle name="Currency 15 38 5" xfId="1204"/>
    <cellStyle name="Currency 15 38 6" xfId="1205"/>
    <cellStyle name="Currency 15 39" xfId="1206"/>
    <cellStyle name="Currency 15 4" xfId="1207"/>
    <cellStyle name="Currency 15 4 2" xfId="1208"/>
    <cellStyle name="Currency 15 40" xfId="1209"/>
    <cellStyle name="Currency 15 41" xfId="1210"/>
    <cellStyle name="Currency 15 42" xfId="1211"/>
    <cellStyle name="Currency 15 5" xfId="1212"/>
    <cellStyle name="Currency 15 5 2" xfId="1213"/>
    <cellStyle name="Currency 15 6" xfId="1214"/>
    <cellStyle name="Currency 15 6 2" xfId="1215"/>
    <cellStyle name="Currency 15 7" xfId="1216"/>
    <cellStyle name="Currency 15 7 2" xfId="1217"/>
    <cellStyle name="Currency 15 8" xfId="1218"/>
    <cellStyle name="Currency 15 8 2" xfId="1219"/>
    <cellStyle name="Currency 15 9" xfId="1220"/>
    <cellStyle name="Currency 15 9 2" xfId="1221"/>
    <cellStyle name="Currency 16" xfId="1222"/>
    <cellStyle name="Currency 16 10" xfId="1223"/>
    <cellStyle name="Currency 16 11" xfId="1224"/>
    <cellStyle name="Currency 16 2" xfId="1225"/>
    <cellStyle name="Currency 16 3" xfId="1226"/>
    <cellStyle name="Currency 16 4" xfId="1227"/>
    <cellStyle name="Currency 16 5" xfId="1228"/>
    <cellStyle name="Currency 16 6" xfId="1229"/>
    <cellStyle name="Currency 16 7" xfId="1230"/>
    <cellStyle name="Currency 16 8" xfId="1231"/>
    <cellStyle name="Currency 16 9" xfId="1232"/>
    <cellStyle name="Currency 18" xfId="1233"/>
    <cellStyle name="Currency 18 10" xfId="1234"/>
    <cellStyle name="Currency 18 11" xfId="1235"/>
    <cellStyle name="Currency 18 2" xfId="1236"/>
    <cellStyle name="Currency 18 3" xfId="1237"/>
    <cellStyle name="Currency 18 4" xfId="1238"/>
    <cellStyle name="Currency 18 5" xfId="1239"/>
    <cellStyle name="Currency 18 6" xfId="1240"/>
    <cellStyle name="Currency 18 7" xfId="1241"/>
    <cellStyle name="Currency 18 8" xfId="1242"/>
    <cellStyle name="Currency 18 9" xfId="1243"/>
    <cellStyle name="Currency 2" xfId="337"/>
    <cellStyle name="Currency 2 10" xfId="338"/>
    <cellStyle name="Currency 2 11" xfId="339"/>
    <cellStyle name="Currency 2 12" xfId="340"/>
    <cellStyle name="Currency 2 2" xfId="341"/>
    <cellStyle name="Currency 2 3" xfId="342"/>
    <cellStyle name="Currency 2 4" xfId="343"/>
    <cellStyle name="Currency 2 5" xfId="344"/>
    <cellStyle name="Currency 2 6" xfId="345"/>
    <cellStyle name="Currency 2 7" xfId="346"/>
    <cellStyle name="Currency 2 8" xfId="347"/>
    <cellStyle name="Currency 2 9" xfId="348"/>
    <cellStyle name="Currency 20" xfId="1244"/>
    <cellStyle name="Currency 20 10" xfId="1245"/>
    <cellStyle name="Currency 20 11" xfId="1246"/>
    <cellStyle name="Currency 20 12" xfId="1247"/>
    <cellStyle name="Currency 20 13" xfId="1248"/>
    <cellStyle name="Currency 20 14" xfId="1249"/>
    <cellStyle name="Currency 20 15" xfId="1250"/>
    <cellStyle name="Currency 20 16" xfId="1251"/>
    <cellStyle name="Currency 20 17" xfId="1252"/>
    <cellStyle name="Currency 20 18" xfId="1253"/>
    <cellStyle name="Currency 20 19" xfId="1254"/>
    <cellStyle name="Currency 20 2" xfId="1255"/>
    <cellStyle name="Currency 20 2 2" xfId="1256"/>
    <cellStyle name="Currency 20 2 2 2" xfId="1257"/>
    <cellStyle name="Currency 20 2 2 3" xfId="1258"/>
    <cellStyle name="Currency 20 2 2 4" xfId="1259"/>
    <cellStyle name="Currency 20 2 2 5" xfId="1260"/>
    <cellStyle name="Currency 20 2 2 6" xfId="1261"/>
    <cellStyle name="Currency 20 2 3" xfId="1262"/>
    <cellStyle name="Currency 20 2 4" xfId="1263"/>
    <cellStyle name="Currency 20 2 5" xfId="1264"/>
    <cellStyle name="Currency 20 2 6" xfId="1265"/>
    <cellStyle name="Currency 20 20" xfId="1266"/>
    <cellStyle name="Currency 20 21" xfId="1267"/>
    <cellStyle name="Currency 20 22" xfId="1268"/>
    <cellStyle name="Currency 20 3" xfId="1269"/>
    <cellStyle name="Currency 20 4" xfId="1270"/>
    <cellStyle name="Currency 20 5" xfId="1271"/>
    <cellStyle name="Currency 20 6" xfId="1272"/>
    <cellStyle name="Currency 20 7" xfId="1273"/>
    <cellStyle name="Currency 20 8" xfId="1274"/>
    <cellStyle name="Currency 20 9" xfId="1275"/>
    <cellStyle name="Currency 21" xfId="1276"/>
    <cellStyle name="Currency 21 10" xfId="1277"/>
    <cellStyle name="Currency 21 11" xfId="1278"/>
    <cellStyle name="Currency 21 12" xfId="1279"/>
    <cellStyle name="Currency 21 13" xfId="1280"/>
    <cellStyle name="Currency 21 14" xfId="1281"/>
    <cellStyle name="Currency 21 15" xfId="1282"/>
    <cellStyle name="Currency 21 16" xfId="1283"/>
    <cellStyle name="Currency 21 17" xfId="1284"/>
    <cellStyle name="Currency 21 18" xfId="1285"/>
    <cellStyle name="Currency 21 19" xfId="1286"/>
    <cellStyle name="Currency 21 2" xfId="1287"/>
    <cellStyle name="Currency 21 2 2" xfId="1288"/>
    <cellStyle name="Currency 21 2 2 2" xfId="1289"/>
    <cellStyle name="Currency 21 2 2 3" xfId="1290"/>
    <cellStyle name="Currency 21 2 2 4" xfId="1291"/>
    <cellStyle name="Currency 21 2 2 5" xfId="1292"/>
    <cellStyle name="Currency 21 2 2 6" xfId="1293"/>
    <cellStyle name="Currency 21 2 3" xfId="1294"/>
    <cellStyle name="Currency 21 2 4" xfId="1295"/>
    <cellStyle name="Currency 21 2 5" xfId="1296"/>
    <cellStyle name="Currency 21 2 6" xfId="1297"/>
    <cellStyle name="Currency 21 20" xfId="1298"/>
    <cellStyle name="Currency 21 21" xfId="1299"/>
    <cellStyle name="Currency 21 22" xfId="1300"/>
    <cellStyle name="Currency 21 3" xfId="1301"/>
    <cellStyle name="Currency 21 4" xfId="1302"/>
    <cellStyle name="Currency 21 5" xfId="1303"/>
    <cellStyle name="Currency 21 6" xfId="1304"/>
    <cellStyle name="Currency 21 7" xfId="1305"/>
    <cellStyle name="Currency 21 8" xfId="1306"/>
    <cellStyle name="Currency 21 9" xfId="1307"/>
    <cellStyle name="Currency 22" xfId="1308"/>
    <cellStyle name="Currency 22 10" xfId="1309"/>
    <cellStyle name="Currency 22 11" xfId="1310"/>
    <cellStyle name="Currency 22 12" xfId="1311"/>
    <cellStyle name="Currency 22 13" xfId="1312"/>
    <cellStyle name="Currency 22 14" xfId="1313"/>
    <cellStyle name="Currency 22 15" xfId="1314"/>
    <cellStyle name="Currency 22 16" xfId="1315"/>
    <cellStyle name="Currency 22 17" xfId="1316"/>
    <cellStyle name="Currency 22 18" xfId="1317"/>
    <cellStyle name="Currency 22 19" xfId="1318"/>
    <cellStyle name="Currency 22 2" xfId="1319"/>
    <cellStyle name="Currency 22 2 2" xfId="1320"/>
    <cellStyle name="Currency 22 2 2 2" xfId="1321"/>
    <cellStyle name="Currency 22 2 2 3" xfId="1322"/>
    <cellStyle name="Currency 22 2 2 4" xfId="1323"/>
    <cellStyle name="Currency 22 2 2 5" xfId="1324"/>
    <cellStyle name="Currency 22 2 2 6" xfId="1325"/>
    <cellStyle name="Currency 22 2 3" xfId="1326"/>
    <cellStyle name="Currency 22 2 4" xfId="1327"/>
    <cellStyle name="Currency 22 2 5" xfId="1328"/>
    <cellStyle name="Currency 22 2 6" xfId="1329"/>
    <cellStyle name="Currency 22 20" xfId="1330"/>
    <cellStyle name="Currency 22 21" xfId="1331"/>
    <cellStyle name="Currency 22 22" xfId="1332"/>
    <cellStyle name="Currency 22 3" xfId="1333"/>
    <cellStyle name="Currency 22 4" xfId="1334"/>
    <cellStyle name="Currency 22 5" xfId="1335"/>
    <cellStyle name="Currency 22 6" xfId="1336"/>
    <cellStyle name="Currency 22 7" xfId="1337"/>
    <cellStyle name="Currency 22 8" xfId="1338"/>
    <cellStyle name="Currency 22 9" xfId="1339"/>
    <cellStyle name="Currency 23" xfId="1340"/>
    <cellStyle name="Currency 23 10" xfId="1341"/>
    <cellStyle name="Currency 23 11" xfId="1342"/>
    <cellStyle name="Currency 23 12" xfId="1343"/>
    <cellStyle name="Currency 23 13" xfId="1344"/>
    <cellStyle name="Currency 23 14" xfId="1345"/>
    <cellStyle name="Currency 23 15" xfId="1346"/>
    <cellStyle name="Currency 23 16" xfId="1347"/>
    <cellStyle name="Currency 23 17" xfId="1348"/>
    <cellStyle name="Currency 23 18" xfId="1349"/>
    <cellStyle name="Currency 23 19" xfId="1350"/>
    <cellStyle name="Currency 23 2" xfId="1351"/>
    <cellStyle name="Currency 23 2 2" xfId="1352"/>
    <cellStyle name="Currency 23 2 2 2" xfId="1353"/>
    <cellStyle name="Currency 23 2 2 3" xfId="1354"/>
    <cellStyle name="Currency 23 2 2 4" xfId="1355"/>
    <cellStyle name="Currency 23 2 2 5" xfId="1356"/>
    <cellStyle name="Currency 23 2 2 6" xfId="1357"/>
    <cellStyle name="Currency 23 2 3" xfId="1358"/>
    <cellStyle name="Currency 23 2 4" xfId="1359"/>
    <cellStyle name="Currency 23 2 5" xfId="1360"/>
    <cellStyle name="Currency 23 2 6" xfId="1361"/>
    <cellStyle name="Currency 23 20" xfId="1362"/>
    <cellStyle name="Currency 23 21" xfId="1363"/>
    <cellStyle name="Currency 23 22" xfId="1364"/>
    <cellStyle name="Currency 23 3" xfId="1365"/>
    <cellStyle name="Currency 23 4" xfId="1366"/>
    <cellStyle name="Currency 23 5" xfId="1367"/>
    <cellStyle name="Currency 23 6" xfId="1368"/>
    <cellStyle name="Currency 23 7" xfId="1369"/>
    <cellStyle name="Currency 23 8" xfId="1370"/>
    <cellStyle name="Currency 23 9" xfId="1371"/>
    <cellStyle name="Currency 24" xfId="1372"/>
    <cellStyle name="Currency 24 10" xfId="1373"/>
    <cellStyle name="Currency 24 11" xfId="1374"/>
    <cellStyle name="Currency 24 12" xfId="1375"/>
    <cellStyle name="Currency 24 13" xfId="1376"/>
    <cellStyle name="Currency 24 14" xfId="1377"/>
    <cellStyle name="Currency 24 15" xfId="1378"/>
    <cellStyle name="Currency 24 16" xfId="1379"/>
    <cellStyle name="Currency 24 17" xfId="1380"/>
    <cellStyle name="Currency 24 18" xfId="1381"/>
    <cellStyle name="Currency 24 19" xfId="1382"/>
    <cellStyle name="Currency 24 2" xfId="1383"/>
    <cellStyle name="Currency 24 2 2" xfId="1384"/>
    <cellStyle name="Currency 24 2 2 2" xfId="1385"/>
    <cellStyle name="Currency 24 2 2 3" xfId="1386"/>
    <cellStyle name="Currency 24 2 2 4" xfId="1387"/>
    <cellStyle name="Currency 24 2 2 5" xfId="1388"/>
    <cellStyle name="Currency 24 2 2 6" xfId="1389"/>
    <cellStyle name="Currency 24 2 3" xfId="1390"/>
    <cellStyle name="Currency 24 2 4" xfId="1391"/>
    <cellStyle name="Currency 24 2 5" xfId="1392"/>
    <cellStyle name="Currency 24 2 6" xfId="1393"/>
    <cellStyle name="Currency 24 20" xfId="1394"/>
    <cellStyle name="Currency 24 21" xfId="1395"/>
    <cellStyle name="Currency 24 22" xfId="1396"/>
    <cellStyle name="Currency 24 3" xfId="1397"/>
    <cellStyle name="Currency 24 4" xfId="1398"/>
    <cellStyle name="Currency 24 5" xfId="1399"/>
    <cellStyle name="Currency 24 6" xfId="1400"/>
    <cellStyle name="Currency 24 7" xfId="1401"/>
    <cellStyle name="Currency 24 8" xfId="1402"/>
    <cellStyle name="Currency 24 9" xfId="1403"/>
    <cellStyle name="Currency 25" xfId="1404"/>
    <cellStyle name="Currency 25 10" xfId="1405"/>
    <cellStyle name="Currency 25 11" xfId="1406"/>
    <cellStyle name="Currency 25 12" xfId="1407"/>
    <cellStyle name="Currency 25 13" xfId="1408"/>
    <cellStyle name="Currency 25 14" xfId="1409"/>
    <cellStyle name="Currency 25 15" xfId="1410"/>
    <cellStyle name="Currency 25 16" xfId="1411"/>
    <cellStyle name="Currency 25 17" xfId="1412"/>
    <cellStyle name="Currency 25 18" xfId="1413"/>
    <cellStyle name="Currency 25 19" xfId="1414"/>
    <cellStyle name="Currency 25 2" xfId="1415"/>
    <cellStyle name="Currency 25 2 2" xfId="1416"/>
    <cellStyle name="Currency 25 2 2 2" xfId="1417"/>
    <cellStyle name="Currency 25 2 2 3" xfId="1418"/>
    <cellStyle name="Currency 25 2 2 4" xfId="1419"/>
    <cellStyle name="Currency 25 2 2 5" xfId="1420"/>
    <cellStyle name="Currency 25 2 2 6" xfId="1421"/>
    <cellStyle name="Currency 25 2 3" xfId="1422"/>
    <cellStyle name="Currency 25 2 4" xfId="1423"/>
    <cellStyle name="Currency 25 2 5" xfId="1424"/>
    <cellStyle name="Currency 25 2 6" xfId="1425"/>
    <cellStyle name="Currency 25 20" xfId="1426"/>
    <cellStyle name="Currency 25 21" xfId="1427"/>
    <cellStyle name="Currency 25 22" xfId="1428"/>
    <cellStyle name="Currency 25 3" xfId="1429"/>
    <cellStyle name="Currency 25 4" xfId="1430"/>
    <cellStyle name="Currency 25 5" xfId="1431"/>
    <cellStyle name="Currency 25 6" xfId="1432"/>
    <cellStyle name="Currency 25 7" xfId="1433"/>
    <cellStyle name="Currency 25 8" xfId="1434"/>
    <cellStyle name="Currency 25 9" xfId="1435"/>
    <cellStyle name="Currency 3" xfId="1436"/>
    <cellStyle name="Currency 3 10" xfId="1437"/>
    <cellStyle name="Currency 3 10 10" xfId="1438"/>
    <cellStyle name="Currency 3 10 11" xfId="1439"/>
    <cellStyle name="Currency 3 10 12" xfId="1440"/>
    <cellStyle name="Currency 3 10 13" xfId="1441"/>
    <cellStyle name="Currency 3 10 14" xfId="1442"/>
    <cellStyle name="Currency 3 10 15" xfId="1443"/>
    <cellStyle name="Currency 3 10 16" xfId="1444"/>
    <cellStyle name="Currency 3 10 17" xfId="1445"/>
    <cellStyle name="Currency 3 10 18" xfId="1446"/>
    <cellStyle name="Currency 3 10 2" xfId="1447"/>
    <cellStyle name="Currency 3 10 2 2" xfId="1448"/>
    <cellStyle name="Currency 3 10 2 3" xfId="1449"/>
    <cellStyle name="Currency 3 10 2 4" xfId="1450"/>
    <cellStyle name="Currency 3 10 2 5" xfId="1451"/>
    <cellStyle name="Currency 3 10 2 6" xfId="1452"/>
    <cellStyle name="Currency 3 10 3" xfId="1453"/>
    <cellStyle name="Currency 3 10 4" xfId="1454"/>
    <cellStyle name="Currency 3 10 5" xfId="1455"/>
    <cellStyle name="Currency 3 10 6" xfId="1456"/>
    <cellStyle name="Currency 3 10 7" xfId="1457"/>
    <cellStyle name="Currency 3 10 8" xfId="1458"/>
    <cellStyle name="Currency 3 10 9" xfId="1459"/>
    <cellStyle name="Currency 3 11" xfId="1460"/>
    <cellStyle name="Currency 3 11 10" xfId="1461"/>
    <cellStyle name="Currency 3 11 11" xfId="1462"/>
    <cellStyle name="Currency 3 11 12" xfId="1463"/>
    <cellStyle name="Currency 3 11 13" xfId="1464"/>
    <cellStyle name="Currency 3 11 14" xfId="1465"/>
    <cellStyle name="Currency 3 11 15" xfId="1466"/>
    <cellStyle name="Currency 3 11 16" xfId="1467"/>
    <cellStyle name="Currency 3 11 17" xfId="1468"/>
    <cellStyle name="Currency 3 11 18" xfId="1469"/>
    <cellStyle name="Currency 3 11 2" xfId="1470"/>
    <cellStyle name="Currency 3 11 2 2" xfId="1471"/>
    <cellStyle name="Currency 3 11 2 3" xfId="1472"/>
    <cellStyle name="Currency 3 11 2 4" xfId="1473"/>
    <cellStyle name="Currency 3 11 2 5" xfId="1474"/>
    <cellStyle name="Currency 3 11 2 6" xfId="1475"/>
    <cellStyle name="Currency 3 11 3" xfId="1476"/>
    <cellStyle name="Currency 3 11 4" xfId="1477"/>
    <cellStyle name="Currency 3 11 5" xfId="1478"/>
    <cellStyle name="Currency 3 11 6" xfId="1479"/>
    <cellStyle name="Currency 3 11 7" xfId="1480"/>
    <cellStyle name="Currency 3 11 8" xfId="1481"/>
    <cellStyle name="Currency 3 11 9" xfId="1482"/>
    <cellStyle name="Currency 3 12" xfId="1483"/>
    <cellStyle name="Currency 3 12 10" xfId="1484"/>
    <cellStyle name="Currency 3 12 11" xfId="1485"/>
    <cellStyle name="Currency 3 12 12" xfId="1486"/>
    <cellStyle name="Currency 3 12 13" xfId="1487"/>
    <cellStyle name="Currency 3 12 14" xfId="1488"/>
    <cellStyle name="Currency 3 12 15" xfId="1489"/>
    <cellStyle name="Currency 3 12 16" xfId="1490"/>
    <cellStyle name="Currency 3 12 17" xfId="1491"/>
    <cellStyle name="Currency 3 12 18" xfId="1492"/>
    <cellStyle name="Currency 3 12 2" xfId="1493"/>
    <cellStyle name="Currency 3 12 2 2" xfId="1494"/>
    <cellStyle name="Currency 3 12 2 3" xfId="1495"/>
    <cellStyle name="Currency 3 12 2 4" xfId="1496"/>
    <cellStyle name="Currency 3 12 2 5" xfId="1497"/>
    <cellStyle name="Currency 3 12 2 6" xfId="1498"/>
    <cellStyle name="Currency 3 12 3" xfId="1499"/>
    <cellStyle name="Currency 3 12 4" xfId="1500"/>
    <cellStyle name="Currency 3 12 5" xfId="1501"/>
    <cellStyle name="Currency 3 12 6" xfId="1502"/>
    <cellStyle name="Currency 3 12 7" xfId="1503"/>
    <cellStyle name="Currency 3 12 8" xfId="1504"/>
    <cellStyle name="Currency 3 12 9" xfId="1505"/>
    <cellStyle name="Currency 3 13" xfId="1506"/>
    <cellStyle name="Currency 3 13 10" xfId="1507"/>
    <cellStyle name="Currency 3 13 11" xfId="1508"/>
    <cellStyle name="Currency 3 13 12" xfId="1509"/>
    <cellStyle name="Currency 3 13 13" xfId="1510"/>
    <cellStyle name="Currency 3 13 14" xfId="1511"/>
    <cellStyle name="Currency 3 13 15" xfId="1512"/>
    <cellStyle name="Currency 3 13 16" xfId="1513"/>
    <cellStyle name="Currency 3 13 17" xfId="1514"/>
    <cellStyle name="Currency 3 13 18" xfId="1515"/>
    <cellStyle name="Currency 3 13 2" xfId="1516"/>
    <cellStyle name="Currency 3 13 2 2" xfId="1517"/>
    <cellStyle name="Currency 3 13 2 3" xfId="1518"/>
    <cellStyle name="Currency 3 13 2 4" xfId="1519"/>
    <cellStyle name="Currency 3 13 2 5" xfId="1520"/>
    <cellStyle name="Currency 3 13 2 6" xfId="1521"/>
    <cellStyle name="Currency 3 13 3" xfId="1522"/>
    <cellStyle name="Currency 3 13 4" xfId="1523"/>
    <cellStyle name="Currency 3 13 5" xfId="1524"/>
    <cellStyle name="Currency 3 13 6" xfId="1525"/>
    <cellStyle name="Currency 3 13 7" xfId="1526"/>
    <cellStyle name="Currency 3 13 8" xfId="1527"/>
    <cellStyle name="Currency 3 13 9" xfId="1528"/>
    <cellStyle name="Currency 3 14" xfId="1529"/>
    <cellStyle name="Currency 3 14 2" xfId="1530"/>
    <cellStyle name="Currency 3 15" xfId="1531"/>
    <cellStyle name="Currency 3 15 2" xfId="1532"/>
    <cellStyle name="Currency 3 16" xfId="1533"/>
    <cellStyle name="Currency 3 16 2" xfId="1534"/>
    <cellStyle name="Currency 3 17" xfId="1535"/>
    <cellStyle name="Currency 3 17 2" xfId="1536"/>
    <cellStyle name="Currency 3 18" xfId="1537"/>
    <cellStyle name="Currency 3 18 2" xfId="1538"/>
    <cellStyle name="Currency 3 19" xfId="1539"/>
    <cellStyle name="Currency 3 19 2" xfId="1540"/>
    <cellStyle name="Currency 3 2" xfId="1541"/>
    <cellStyle name="Currency 3 2 10" xfId="1542"/>
    <cellStyle name="Currency 3 2 11" xfId="1543"/>
    <cellStyle name="Currency 3 2 12" xfId="1544"/>
    <cellStyle name="Currency 3 2 13" xfId="1545"/>
    <cellStyle name="Currency 3 2 14" xfId="1546"/>
    <cellStyle name="Currency 3 2 15" xfId="1547"/>
    <cellStyle name="Currency 3 2 16" xfId="1548"/>
    <cellStyle name="Currency 3 2 17" xfId="1549"/>
    <cellStyle name="Currency 3 2 18" xfId="1550"/>
    <cellStyle name="Currency 3 2 2" xfId="1551"/>
    <cellStyle name="Currency 3 2 2 2" xfId="1552"/>
    <cellStyle name="Currency 3 2 2 3" xfId="1553"/>
    <cellStyle name="Currency 3 2 2 4" xfId="1554"/>
    <cellStyle name="Currency 3 2 2 5" xfId="1555"/>
    <cellStyle name="Currency 3 2 2 6" xfId="1556"/>
    <cellStyle name="Currency 3 2 3" xfId="1557"/>
    <cellStyle name="Currency 3 2 4" xfId="1558"/>
    <cellStyle name="Currency 3 2 5" xfId="1559"/>
    <cellStyle name="Currency 3 2 6" xfId="1560"/>
    <cellStyle name="Currency 3 2 7" xfId="1561"/>
    <cellStyle name="Currency 3 2 8" xfId="1562"/>
    <cellStyle name="Currency 3 2 9" xfId="1563"/>
    <cellStyle name="Currency 3 20" xfId="1564"/>
    <cellStyle name="Currency 3 20 2" xfId="1565"/>
    <cellStyle name="Currency 3 21" xfId="1566"/>
    <cellStyle name="Currency 3 21 2" xfId="1567"/>
    <cellStyle name="Currency 3 22" xfId="1568"/>
    <cellStyle name="Currency 3 22 2" xfId="1569"/>
    <cellStyle name="Currency 3 23" xfId="1570"/>
    <cellStyle name="Currency 3 23 2" xfId="1571"/>
    <cellStyle name="Currency 3 24" xfId="1572"/>
    <cellStyle name="Currency 3 24 2" xfId="1573"/>
    <cellStyle name="Currency 3 25" xfId="1574"/>
    <cellStyle name="Currency 3 25 2" xfId="1575"/>
    <cellStyle name="Currency 3 26" xfId="1576"/>
    <cellStyle name="Currency 3 26 2" xfId="1577"/>
    <cellStyle name="Currency 3 27" xfId="1578"/>
    <cellStyle name="Currency 3 27 2" xfId="1579"/>
    <cellStyle name="Currency 3 28" xfId="1580"/>
    <cellStyle name="Currency 3 28 2" xfId="1581"/>
    <cellStyle name="Currency 3 29" xfId="1582"/>
    <cellStyle name="Currency 3 29 2" xfId="1583"/>
    <cellStyle name="Currency 3 3" xfId="1584"/>
    <cellStyle name="Currency 3 3 10" xfId="1585"/>
    <cellStyle name="Currency 3 3 11" xfId="1586"/>
    <cellStyle name="Currency 3 3 12" xfId="1587"/>
    <cellStyle name="Currency 3 3 13" xfId="1588"/>
    <cellStyle name="Currency 3 3 14" xfId="1589"/>
    <cellStyle name="Currency 3 3 15" xfId="1590"/>
    <cellStyle name="Currency 3 3 16" xfId="1591"/>
    <cellStyle name="Currency 3 3 17" xfId="1592"/>
    <cellStyle name="Currency 3 3 18" xfId="1593"/>
    <cellStyle name="Currency 3 3 2" xfId="1594"/>
    <cellStyle name="Currency 3 3 2 2" xfId="1595"/>
    <cellStyle name="Currency 3 3 2 3" xfId="1596"/>
    <cellStyle name="Currency 3 3 2 4" xfId="1597"/>
    <cellStyle name="Currency 3 3 2 5" xfId="1598"/>
    <cellStyle name="Currency 3 3 2 6" xfId="1599"/>
    <cellStyle name="Currency 3 3 3" xfId="1600"/>
    <cellStyle name="Currency 3 3 4" xfId="1601"/>
    <cellStyle name="Currency 3 3 5" xfId="1602"/>
    <cellStyle name="Currency 3 3 6" xfId="1603"/>
    <cellStyle name="Currency 3 3 7" xfId="1604"/>
    <cellStyle name="Currency 3 3 8" xfId="1605"/>
    <cellStyle name="Currency 3 3 9" xfId="1606"/>
    <cellStyle name="Currency 3 30" xfId="1607"/>
    <cellStyle name="Currency 3 30 2" xfId="1608"/>
    <cellStyle name="Currency 3 31" xfId="1609"/>
    <cellStyle name="Currency 3 32" xfId="1610"/>
    <cellStyle name="Currency 3 33" xfId="1611"/>
    <cellStyle name="Currency 3 34" xfId="1612"/>
    <cellStyle name="Currency 3 35" xfId="1613"/>
    <cellStyle name="Currency 3 36" xfId="1614"/>
    <cellStyle name="Currency 3 37" xfId="1615"/>
    <cellStyle name="Currency 3 38" xfId="1616"/>
    <cellStyle name="Currency 3 38 2" xfId="1617"/>
    <cellStyle name="Currency 3 38 3" xfId="1618"/>
    <cellStyle name="Currency 3 38 4" xfId="1619"/>
    <cellStyle name="Currency 3 38 5" xfId="1620"/>
    <cellStyle name="Currency 3 38 6" xfId="1621"/>
    <cellStyle name="Currency 3 39" xfId="1622"/>
    <cellStyle name="Currency 3 4" xfId="1623"/>
    <cellStyle name="Currency 3 4 10" xfId="1624"/>
    <cellStyle name="Currency 3 4 11" xfId="1625"/>
    <cellStyle name="Currency 3 4 12" xfId="1626"/>
    <cellStyle name="Currency 3 4 13" xfId="1627"/>
    <cellStyle name="Currency 3 4 14" xfId="1628"/>
    <cellStyle name="Currency 3 4 15" xfId="1629"/>
    <cellStyle name="Currency 3 4 16" xfId="1630"/>
    <cellStyle name="Currency 3 4 17" xfId="1631"/>
    <cellStyle name="Currency 3 4 18" xfId="1632"/>
    <cellStyle name="Currency 3 4 2" xfId="1633"/>
    <cellStyle name="Currency 3 4 2 2" xfId="1634"/>
    <cellStyle name="Currency 3 4 2 3" xfId="1635"/>
    <cellStyle name="Currency 3 4 2 4" xfId="1636"/>
    <cellStyle name="Currency 3 4 2 5" xfId="1637"/>
    <cellStyle name="Currency 3 4 2 6" xfId="1638"/>
    <cellStyle name="Currency 3 4 3" xfId="1639"/>
    <cellStyle name="Currency 3 4 4" xfId="1640"/>
    <cellStyle name="Currency 3 4 5" xfId="1641"/>
    <cellStyle name="Currency 3 4 6" xfId="1642"/>
    <cellStyle name="Currency 3 4 7" xfId="1643"/>
    <cellStyle name="Currency 3 4 8" xfId="1644"/>
    <cellStyle name="Currency 3 4 9" xfId="1645"/>
    <cellStyle name="Currency 3 40" xfId="1646"/>
    <cellStyle name="Currency 3 41" xfId="1647"/>
    <cellStyle name="Currency 3 42" xfId="1648"/>
    <cellStyle name="Currency 3 5" xfId="1649"/>
    <cellStyle name="Currency 3 5 10" xfId="1650"/>
    <cellStyle name="Currency 3 5 11" xfId="1651"/>
    <cellStyle name="Currency 3 5 12" xfId="1652"/>
    <cellStyle name="Currency 3 5 13" xfId="1653"/>
    <cellStyle name="Currency 3 5 14" xfId="1654"/>
    <cellStyle name="Currency 3 5 15" xfId="1655"/>
    <cellStyle name="Currency 3 5 16" xfId="1656"/>
    <cellStyle name="Currency 3 5 17" xfId="1657"/>
    <cellStyle name="Currency 3 5 18" xfId="1658"/>
    <cellStyle name="Currency 3 5 2" xfId="1659"/>
    <cellStyle name="Currency 3 5 2 2" xfId="1660"/>
    <cellStyle name="Currency 3 5 2 3" xfId="1661"/>
    <cellStyle name="Currency 3 5 2 4" xfId="1662"/>
    <cellStyle name="Currency 3 5 2 5" xfId="1663"/>
    <cellStyle name="Currency 3 5 2 6" xfId="1664"/>
    <cellStyle name="Currency 3 5 3" xfId="1665"/>
    <cellStyle name="Currency 3 5 4" xfId="1666"/>
    <cellStyle name="Currency 3 5 5" xfId="1667"/>
    <cellStyle name="Currency 3 5 6" xfId="1668"/>
    <cellStyle name="Currency 3 5 7" xfId="1669"/>
    <cellStyle name="Currency 3 5 8" xfId="1670"/>
    <cellStyle name="Currency 3 5 9" xfId="1671"/>
    <cellStyle name="Currency 3 6" xfId="1672"/>
    <cellStyle name="Currency 3 6 10" xfId="1673"/>
    <cellStyle name="Currency 3 6 11" xfId="1674"/>
    <cellStyle name="Currency 3 6 12" xfId="1675"/>
    <cellStyle name="Currency 3 6 13" xfId="1676"/>
    <cellStyle name="Currency 3 6 14" xfId="1677"/>
    <cellStyle name="Currency 3 6 15" xfId="1678"/>
    <cellStyle name="Currency 3 6 16" xfId="1679"/>
    <cellStyle name="Currency 3 6 17" xfId="1680"/>
    <cellStyle name="Currency 3 6 18" xfId="1681"/>
    <cellStyle name="Currency 3 6 2" xfId="1682"/>
    <cellStyle name="Currency 3 6 2 2" xfId="1683"/>
    <cellStyle name="Currency 3 6 2 3" xfId="1684"/>
    <cellStyle name="Currency 3 6 2 4" xfId="1685"/>
    <cellStyle name="Currency 3 6 2 5" xfId="1686"/>
    <cellStyle name="Currency 3 6 2 6" xfId="1687"/>
    <cellStyle name="Currency 3 6 3" xfId="1688"/>
    <cellStyle name="Currency 3 6 4" xfId="1689"/>
    <cellStyle name="Currency 3 6 5" xfId="1690"/>
    <cellStyle name="Currency 3 6 6" xfId="1691"/>
    <cellStyle name="Currency 3 6 7" xfId="1692"/>
    <cellStyle name="Currency 3 6 8" xfId="1693"/>
    <cellStyle name="Currency 3 6 9" xfId="1694"/>
    <cellStyle name="Currency 3 7" xfId="1695"/>
    <cellStyle name="Currency 3 7 10" xfId="1696"/>
    <cellStyle name="Currency 3 7 11" xfId="1697"/>
    <cellStyle name="Currency 3 7 12" xfId="1698"/>
    <cellStyle name="Currency 3 7 13" xfId="1699"/>
    <cellStyle name="Currency 3 7 14" xfId="1700"/>
    <cellStyle name="Currency 3 7 15" xfId="1701"/>
    <cellStyle name="Currency 3 7 16" xfId="1702"/>
    <cellStyle name="Currency 3 7 17" xfId="1703"/>
    <cellStyle name="Currency 3 7 18" xfId="1704"/>
    <cellStyle name="Currency 3 7 2" xfId="1705"/>
    <cellStyle name="Currency 3 7 2 2" xfId="1706"/>
    <cellStyle name="Currency 3 7 2 3" xfId="1707"/>
    <cellStyle name="Currency 3 7 2 4" xfId="1708"/>
    <cellStyle name="Currency 3 7 2 5" xfId="1709"/>
    <cellStyle name="Currency 3 7 2 6" xfId="1710"/>
    <cellStyle name="Currency 3 7 3" xfId="1711"/>
    <cellStyle name="Currency 3 7 4" xfId="1712"/>
    <cellStyle name="Currency 3 7 5" xfId="1713"/>
    <cellStyle name="Currency 3 7 6" xfId="1714"/>
    <cellStyle name="Currency 3 7 7" xfId="1715"/>
    <cellStyle name="Currency 3 7 8" xfId="1716"/>
    <cellStyle name="Currency 3 7 9" xfId="1717"/>
    <cellStyle name="Currency 3 8" xfId="1718"/>
    <cellStyle name="Currency 3 8 10" xfId="1719"/>
    <cellStyle name="Currency 3 8 11" xfId="1720"/>
    <cellStyle name="Currency 3 8 12" xfId="1721"/>
    <cellStyle name="Currency 3 8 13" xfId="1722"/>
    <cellStyle name="Currency 3 8 14" xfId="1723"/>
    <cellStyle name="Currency 3 8 15" xfId="1724"/>
    <cellStyle name="Currency 3 8 16" xfId="1725"/>
    <cellStyle name="Currency 3 8 17" xfId="1726"/>
    <cellStyle name="Currency 3 8 18" xfId="1727"/>
    <cellStyle name="Currency 3 8 2" xfId="1728"/>
    <cellStyle name="Currency 3 8 2 2" xfId="1729"/>
    <cellStyle name="Currency 3 8 2 3" xfId="1730"/>
    <cellStyle name="Currency 3 8 2 4" xfId="1731"/>
    <cellStyle name="Currency 3 8 2 5" xfId="1732"/>
    <cellStyle name="Currency 3 8 2 6" xfId="1733"/>
    <cellStyle name="Currency 3 8 3" xfId="1734"/>
    <cellStyle name="Currency 3 8 4" xfId="1735"/>
    <cellStyle name="Currency 3 8 5" xfId="1736"/>
    <cellStyle name="Currency 3 8 6" xfId="1737"/>
    <cellStyle name="Currency 3 8 7" xfId="1738"/>
    <cellStyle name="Currency 3 8 8" xfId="1739"/>
    <cellStyle name="Currency 3 8 9" xfId="1740"/>
    <cellStyle name="Currency 3 9" xfId="1741"/>
    <cellStyle name="Currency 3 9 10" xfId="1742"/>
    <cellStyle name="Currency 3 9 11" xfId="1743"/>
    <cellStyle name="Currency 3 9 12" xfId="1744"/>
    <cellStyle name="Currency 3 9 13" xfId="1745"/>
    <cellStyle name="Currency 3 9 14" xfId="1746"/>
    <cellStyle name="Currency 3 9 15" xfId="1747"/>
    <cellStyle name="Currency 3 9 16" xfId="1748"/>
    <cellStyle name="Currency 3 9 17" xfId="1749"/>
    <cellStyle name="Currency 3 9 18" xfId="1750"/>
    <cellStyle name="Currency 3 9 2" xfId="1751"/>
    <cellStyle name="Currency 3 9 2 2" xfId="1752"/>
    <cellStyle name="Currency 3 9 2 3" xfId="1753"/>
    <cellStyle name="Currency 3 9 2 4" xfId="1754"/>
    <cellStyle name="Currency 3 9 2 5" xfId="1755"/>
    <cellStyle name="Currency 3 9 2 6" xfId="1756"/>
    <cellStyle name="Currency 3 9 3" xfId="1757"/>
    <cellStyle name="Currency 3 9 4" xfId="1758"/>
    <cellStyle name="Currency 3 9 5" xfId="1759"/>
    <cellStyle name="Currency 3 9 6" xfId="1760"/>
    <cellStyle name="Currency 3 9 7" xfId="1761"/>
    <cellStyle name="Currency 3 9 8" xfId="1762"/>
    <cellStyle name="Currency 3 9 9" xfId="1763"/>
    <cellStyle name="Currency 31" xfId="1764"/>
    <cellStyle name="Currency 32" xfId="1765"/>
    <cellStyle name="Currency 33" xfId="1766"/>
    <cellStyle name="Currency 34" xfId="1767"/>
    <cellStyle name="Currency 35" xfId="1768"/>
    <cellStyle name="Currency 37" xfId="1769"/>
    <cellStyle name="Currency 38" xfId="1770"/>
    <cellStyle name="Currency 38 10" xfId="1771"/>
    <cellStyle name="Currency 38 11" xfId="1772"/>
    <cellStyle name="Currency 38 2" xfId="1773"/>
    <cellStyle name="Currency 38 3" xfId="1774"/>
    <cellStyle name="Currency 38 4" xfId="1775"/>
    <cellStyle name="Currency 38 5" xfId="1776"/>
    <cellStyle name="Currency 38 6" xfId="1777"/>
    <cellStyle name="Currency 38 7" xfId="1778"/>
    <cellStyle name="Currency 38 8" xfId="1779"/>
    <cellStyle name="Currency 38 9" xfId="1780"/>
    <cellStyle name="Currency 4" xfId="1781"/>
    <cellStyle name="Currency 4 10" xfId="1782"/>
    <cellStyle name="Currency 4 10 2" xfId="1783"/>
    <cellStyle name="Currency 4 11" xfId="1784"/>
    <cellStyle name="Currency 4 11 2" xfId="1785"/>
    <cellStyle name="Currency 4 12" xfId="1786"/>
    <cellStyle name="Currency 4 12 2" xfId="1787"/>
    <cellStyle name="Currency 4 13" xfId="1788"/>
    <cellStyle name="Currency 4 13 2" xfId="1789"/>
    <cellStyle name="Currency 4 14" xfId="1790"/>
    <cellStyle name="Currency 4 14 2" xfId="1791"/>
    <cellStyle name="Currency 4 15" xfId="1792"/>
    <cellStyle name="Currency 4 15 2" xfId="1793"/>
    <cellStyle name="Currency 4 16" xfId="1794"/>
    <cellStyle name="Currency 4 16 2" xfId="1795"/>
    <cellStyle name="Currency 4 17" xfId="1796"/>
    <cellStyle name="Currency 4 17 2" xfId="1797"/>
    <cellStyle name="Currency 4 18" xfId="1798"/>
    <cellStyle name="Currency 4 18 2" xfId="1799"/>
    <cellStyle name="Currency 4 19" xfId="1800"/>
    <cellStyle name="Currency 4 2" xfId="1801"/>
    <cellStyle name="Currency 4 2 2" xfId="1802"/>
    <cellStyle name="Currency 4 20" xfId="1803"/>
    <cellStyle name="Currency 4 21" xfId="1804"/>
    <cellStyle name="Currency 4 22" xfId="1805"/>
    <cellStyle name="Currency 4 23" xfId="1806"/>
    <cellStyle name="Currency 4 24" xfId="1807"/>
    <cellStyle name="Currency 4 25" xfId="1808"/>
    <cellStyle name="Currency 4 26" xfId="1809"/>
    <cellStyle name="Currency 4 27" xfId="1810"/>
    <cellStyle name="Currency 4 28" xfId="1811"/>
    <cellStyle name="Currency 4 29" xfId="1812"/>
    <cellStyle name="Currency 4 3" xfId="1813"/>
    <cellStyle name="Currency 4 3 2" xfId="1814"/>
    <cellStyle name="Currency 4 30" xfId="1815"/>
    <cellStyle name="Currency 4 31" xfId="1816"/>
    <cellStyle name="Currency 4 32" xfId="1817"/>
    <cellStyle name="Currency 4 33" xfId="1818"/>
    <cellStyle name="Currency 4 34" xfId="1819"/>
    <cellStyle name="Currency 4 35" xfId="1820"/>
    <cellStyle name="Currency 4 36" xfId="1821"/>
    <cellStyle name="Currency 4 37" xfId="1822"/>
    <cellStyle name="Currency 4 38" xfId="1823"/>
    <cellStyle name="Currency 4 38 2" xfId="1824"/>
    <cellStyle name="Currency 4 38 3" xfId="1825"/>
    <cellStyle name="Currency 4 38 4" xfId="1826"/>
    <cellStyle name="Currency 4 38 5" xfId="1827"/>
    <cellStyle name="Currency 4 38 6" xfId="1828"/>
    <cellStyle name="Currency 4 39" xfId="1829"/>
    <cellStyle name="Currency 4 4" xfId="1830"/>
    <cellStyle name="Currency 4 4 2" xfId="1831"/>
    <cellStyle name="Currency 4 40" xfId="1832"/>
    <cellStyle name="Currency 4 41" xfId="1833"/>
    <cellStyle name="Currency 4 42" xfId="1834"/>
    <cellStyle name="Currency 4 5" xfId="1835"/>
    <cellStyle name="Currency 4 5 2" xfId="1836"/>
    <cellStyle name="Currency 4 6" xfId="1837"/>
    <cellStyle name="Currency 4 6 2" xfId="1838"/>
    <cellStyle name="Currency 4 7" xfId="1839"/>
    <cellStyle name="Currency 4 7 2" xfId="1840"/>
    <cellStyle name="Currency 4 8" xfId="1841"/>
    <cellStyle name="Currency 4 8 2" xfId="1842"/>
    <cellStyle name="Currency 4 9" xfId="1843"/>
    <cellStyle name="Currency 4 9 2" xfId="1844"/>
    <cellStyle name="Currency 5" xfId="1845"/>
    <cellStyle name="Currency 5 10" xfId="1846"/>
    <cellStyle name="Currency 5 10 2" xfId="1847"/>
    <cellStyle name="Currency 5 11" xfId="1848"/>
    <cellStyle name="Currency 5 11 2" xfId="1849"/>
    <cellStyle name="Currency 5 12" xfId="1850"/>
    <cellStyle name="Currency 5 12 2" xfId="1851"/>
    <cellStyle name="Currency 5 13" xfId="1852"/>
    <cellStyle name="Currency 5 13 2" xfId="1853"/>
    <cellStyle name="Currency 5 14" xfId="1854"/>
    <cellStyle name="Currency 5 14 2" xfId="1855"/>
    <cellStyle name="Currency 5 15" xfId="1856"/>
    <cellStyle name="Currency 5 15 2" xfId="1857"/>
    <cellStyle name="Currency 5 16" xfId="1858"/>
    <cellStyle name="Currency 5 16 2" xfId="1859"/>
    <cellStyle name="Currency 5 17" xfId="1860"/>
    <cellStyle name="Currency 5 17 2" xfId="1861"/>
    <cellStyle name="Currency 5 18" xfId="1862"/>
    <cellStyle name="Currency 5 18 2" xfId="1863"/>
    <cellStyle name="Currency 5 19" xfId="1864"/>
    <cellStyle name="Currency 5 2" xfId="1865"/>
    <cellStyle name="Currency 5 2 2" xfId="1866"/>
    <cellStyle name="Currency 5 20" xfId="1867"/>
    <cellStyle name="Currency 5 21" xfId="1868"/>
    <cellStyle name="Currency 5 22" xfId="1869"/>
    <cellStyle name="Currency 5 23" xfId="1870"/>
    <cellStyle name="Currency 5 24" xfId="1871"/>
    <cellStyle name="Currency 5 25" xfId="1872"/>
    <cellStyle name="Currency 5 26" xfId="1873"/>
    <cellStyle name="Currency 5 27" xfId="1874"/>
    <cellStyle name="Currency 5 28" xfId="1875"/>
    <cellStyle name="Currency 5 29" xfId="1876"/>
    <cellStyle name="Currency 5 3" xfId="1877"/>
    <cellStyle name="Currency 5 3 2" xfId="1878"/>
    <cellStyle name="Currency 5 30" xfId="1879"/>
    <cellStyle name="Currency 5 31" xfId="1880"/>
    <cellStyle name="Currency 5 32" xfId="1881"/>
    <cellStyle name="Currency 5 33" xfId="1882"/>
    <cellStyle name="Currency 5 34" xfId="1883"/>
    <cellStyle name="Currency 5 35" xfId="1884"/>
    <cellStyle name="Currency 5 36" xfId="1885"/>
    <cellStyle name="Currency 5 37" xfId="1886"/>
    <cellStyle name="Currency 5 38" xfId="1887"/>
    <cellStyle name="Currency 5 38 2" xfId="1888"/>
    <cellStyle name="Currency 5 38 3" xfId="1889"/>
    <cellStyle name="Currency 5 38 4" xfId="1890"/>
    <cellStyle name="Currency 5 38 5" xfId="1891"/>
    <cellStyle name="Currency 5 38 6" xfId="1892"/>
    <cellStyle name="Currency 5 39" xfId="1893"/>
    <cellStyle name="Currency 5 4" xfId="1894"/>
    <cellStyle name="Currency 5 4 2" xfId="1895"/>
    <cellStyle name="Currency 5 40" xfId="1896"/>
    <cellStyle name="Currency 5 41" xfId="1897"/>
    <cellStyle name="Currency 5 42" xfId="1898"/>
    <cellStyle name="Currency 5 5" xfId="1899"/>
    <cellStyle name="Currency 5 5 2" xfId="1900"/>
    <cellStyle name="Currency 5 6" xfId="1901"/>
    <cellStyle name="Currency 5 6 2" xfId="1902"/>
    <cellStyle name="Currency 5 7" xfId="1903"/>
    <cellStyle name="Currency 5 7 2" xfId="1904"/>
    <cellStyle name="Currency 5 8" xfId="1905"/>
    <cellStyle name="Currency 5 8 2" xfId="1906"/>
    <cellStyle name="Currency 5 9" xfId="1907"/>
    <cellStyle name="Currency 5 9 2" xfId="1908"/>
    <cellStyle name="Currency 6" xfId="1909"/>
    <cellStyle name="Currency 6 10" xfId="1910"/>
    <cellStyle name="Currency 6 10 2" xfId="1911"/>
    <cellStyle name="Currency 6 11" xfId="1912"/>
    <cellStyle name="Currency 6 11 2" xfId="1913"/>
    <cellStyle name="Currency 6 12" xfId="1914"/>
    <cellStyle name="Currency 6 12 2" xfId="1915"/>
    <cellStyle name="Currency 6 13" xfId="1916"/>
    <cellStyle name="Currency 6 13 2" xfId="1917"/>
    <cellStyle name="Currency 6 14" xfId="1918"/>
    <cellStyle name="Currency 6 14 2" xfId="1919"/>
    <cellStyle name="Currency 6 15" xfId="1920"/>
    <cellStyle name="Currency 6 15 2" xfId="1921"/>
    <cellStyle name="Currency 6 16" xfId="1922"/>
    <cellStyle name="Currency 6 16 2" xfId="1923"/>
    <cellStyle name="Currency 6 17" xfId="1924"/>
    <cellStyle name="Currency 6 17 2" xfId="1925"/>
    <cellStyle name="Currency 6 18" xfId="1926"/>
    <cellStyle name="Currency 6 18 2" xfId="1927"/>
    <cellStyle name="Currency 6 19" xfId="1928"/>
    <cellStyle name="Currency 6 2" xfId="1929"/>
    <cellStyle name="Currency 6 2 2" xfId="1930"/>
    <cellStyle name="Currency 6 20" xfId="1931"/>
    <cellStyle name="Currency 6 21" xfId="1932"/>
    <cellStyle name="Currency 6 22" xfId="1933"/>
    <cellStyle name="Currency 6 23" xfId="1934"/>
    <cellStyle name="Currency 6 24" xfId="1935"/>
    <cellStyle name="Currency 6 25" xfId="1936"/>
    <cellStyle name="Currency 6 26" xfId="1937"/>
    <cellStyle name="Currency 6 27" xfId="1938"/>
    <cellStyle name="Currency 6 28" xfId="1939"/>
    <cellStyle name="Currency 6 29" xfId="1940"/>
    <cellStyle name="Currency 6 3" xfId="1941"/>
    <cellStyle name="Currency 6 3 2" xfId="1942"/>
    <cellStyle name="Currency 6 30" xfId="1943"/>
    <cellStyle name="Currency 6 31" xfId="1944"/>
    <cellStyle name="Currency 6 32" xfId="1945"/>
    <cellStyle name="Currency 6 33" xfId="1946"/>
    <cellStyle name="Currency 6 34" xfId="1947"/>
    <cellStyle name="Currency 6 35" xfId="1948"/>
    <cellStyle name="Currency 6 36" xfId="1949"/>
    <cellStyle name="Currency 6 37" xfId="1950"/>
    <cellStyle name="Currency 6 38" xfId="1951"/>
    <cellStyle name="Currency 6 38 2" xfId="1952"/>
    <cellStyle name="Currency 6 38 3" xfId="1953"/>
    <cellStyle name="Currency 6 38 4" xfId="1954"/>
    <cellStyle name="Currency 6 38 5" xfId="1955"/>
    <cellStyle name="Currency 6 38 6" xfId="1956"/>
    <cellStyle name="Currency 6 39" xfId="1957"/>
    <cellStyle name="Currency 6 4" xfId="1958"/>
    <cellStyle name="Currency 6 4 2" xfId="1959"/>
    <cellStyle name="Currency 6 40" xfId="1960"/>
    <cellStyle name="Currency 6 41" xfId="1961"/>
    <cellStyle name="Currency 6 42" xfId="1962"/>
    <cellStyle name="Currency 6 5" xfId="1963"/>
    <cellStyle name="Currency 6 5 2" xfId="1964"/>
    <cellStyle name="Currency 6 6" xfId="1965"/>
    <cellStyle name="Currency 6 6 2" xfId="1966"/>
    <cellStyle name="Currency 6 7" xfId="1967"/>
    <cellStyle name="Currency 6 7 2" xfId="1968"/>
    <cellStyle name="Currency 6 8" xfId="1969"/>
    <cellStyle name="Currency 6 8 2" xfId="1970"/>
    <cellStyle name="Currency 6 9" xfId="1971"/>
    <cellStyle name="Currency 6 9 2" xfId="1972"/>
    <cellStyle name="Currency 7" xfId="1973"/>
    <cellStyle name="Currency 7 10" xfId="1974"/>
    <cellStyle name="Currency 7 10 2" xfId="1975"/>
    <cellStyle name="Currency 7 11" xfId="1976"/>
    <cellStyle name="Currency 7 11 2" xfId="1977"/>
    <cellStyle name="Currency 7 12" xfId="1978"/>
    <cellStyle name="Currency 7 12 2" xfId="1979"/>
    <cellStyle name="Currency 7 13" xfId="1980"/>
    <cellStyle name="Currency 7 13 2" xfId="1981"/>
    <cellStyle name="Currency 7 14" xfId="1982"/>
    <cellStyle name="Currency 7 14 2" xfId="1983"/>
    <cellStyle name="Currency 7 15" xfId="1984"/>
    <cellStyle name="Currency 7 15 2" xfId="1985"/>
    <cellStyle name="Currency 7 16" xfId="1986"/>
    <cellStyle name="Currency 7 16 2" xfId="1987"/>
    <cellStyle name="Currency 7 17" xfId="1988"/>
    <cellStyle name="Currency 7 17 2" xfId="1989"/>
    <cellStyle name="Currency 7 18" xfId="1990"/>
    <cellStyle name="Currency 7 18 2" xfId="1991"/>
    <cellStyle name="Currency 7 19" xfId="1992"/>
    <cellStyle name="Currency 7 2" xfId="1993"/>
    <cellStyle name="Currency 7 2 2" xfId="1994"/>
    <cellStyle name="Currency 7 20" xfId="1995"/>
    <cellStyle name="Currency 7 21" xfId="1996"/>
    <cellStyle name="Currency 7 22" xfId="1997"/>
    <cellStyle name="Currency 7 23" xfId="1998"/>
    <cellStyle name="Currency 7 24" xfId="1999"/>
    <cellStyle name="Currency 7 25" xfId="2000"/>
    <cellStyle name="Currency 7 26" xfId="2001"/>
    <cellStyle name="Currency 7 27" xfId="2002"/>
    <cellStyle name="Currency 7 28" xfId="2003"/>
    <cellStyle name="Currency 7 29" xfId="2004"/>
    <cellStyle name="Currency 7 3" xfId="2005"/>
    <cellStyle name="Currency 7 3 2" xfId="2006"/>
    <cellStyle name="Currency 7 30" xfId="2007"/>
    <cellStyle name="Currency 7 31" xfId="2008"/>
    <cellStyle name="Currency 7 32" xfId="2009"/>
    <cellStyle name="Currency 7 33" xfId="2010"/>
    <cellStyle name="Currency 7 34" xfId="2011"/>
    <cellStyle name="Currency 7 35" xfId="2012"/>
    <cellStyle name="Currency 7 36" xfId="2013"/>
    <cellStyle name="Currency 7 37" xfId="2014"/>
    <cellStyle name="Currency 7 38" xfId="2015"/>
    <cellStyle name="Currency 7 38 2" xfId="2016"/>
    <cellStyle name="Currency 7 38 3" xfId="2017"/>
    <cellStyle name="Currency 7 38 4" xfId="2018"/>
    <cellStyle name="Currency 7 38 5" xfId="2019"/>
    <cellStyle name="Currency 7 38 6" xfId="2020"/>
    <cellStyle name="Currency 7 39" xfId="2021"/>
    <cellStyle name="Currency 7 4" xfId="2022"/>
    <cellStyle name="Currency 7 4 2" xfId="2023"/>
    <cellStyle name="Currency 7 40" xfId="2024"/>
    <cellStyle name="Currency 7 41" xfId="2025"/>
    <cellStyle name="Currency 7 42" xfId="2026"/>
    <cellStyle name="Currency 7 5" xfId="2027"/>
    <cellStyle name="Currency 7 5 2" xfId="2028"/>
    <cellStyle name="Currency 7 6" xfId="2029"/>
    <cellStyle name="Currency 7 6 2" xfId="2030"/>
    <cellStyle name="Currency 7 7" xfId="2031"/>
    <cellStyle name="Currency 7 7 2" xfId="2032"/>
    <cellStyle name="Currency 7 8" xfId="2033"/>
    <cellStyle name="Currency 7 8 2" xfId="2034"/>
    <cellStyle name="Currency 7 9" xfId="2035"/>
    <cellStyle name="Currency 7 9 2" xfId="2036"/>
    <cellStyle name="Currency 8" xfId="2037"/>
    <cellStyle name="Currency 8 10" xfId="2038"/>
    <cellStyle name="Currency 8 10 2" xfId="2039"/>
    <cellStyle name="Currency 8 11" xfId="2040"/>
    <cellStyle name="Currency 8 11 2" xfId="2041"/>
    <cellStyle name="Currency 8 12" xfId="2042"/>
    <cellStyle name="Currency 8 12 2" xfId="2043"/>
    <cellStyle name="Currency 8 13" xfId="2044"/>
    <cellStyle name="Currency 8 13 2" xfId="2045"/>
    <cellStyle name="Currency 8 14" xfId="2046"/>
    <cellStyle name="Currency 8 14 2" xfId="2047"/>
    <cellStyle name="Currency 8 15" xfId="2048"/>
    <cellStyle name="Currency 8 15 2" xfId="2049"/>
    <cellStyle name="Currency 8 16" xfId="2050"/>
    <cellStyle name="Currency 8 16 2" xfId="2051"/>
    <cellStyle name="Currency 8 17" xfId="2052"/>
    <cellStyle name="Currency 8 17 2" xfId="2053"/>
    <cellStyle name="Currency 8 18" xfId="2054"/>
    <cellStyle name="Currency 8 18 2" xfId="2055"/>
    <cellStyle name="Currency 8 19" xfId="2056"/>
    <cellStyle name="Currency 8 2" xfId="2057"/>
    <cellStyle name="Currency 8 2 2" xfId="2058"/>
    <cellStyle name="Currency 8 20" xfId="2059"/>
    <cellStyle name="Currency 8 21" xfId="2060"/>
    <cellStyle name="Currency 8 22" xfId="2061"/>
    <cellStyle name="Currency 8 23" xfId="2062"/>
    <cellStyle name="Currency 8 24" xfId="2063"/>
    <cellStyle name="Currency 8 25" xfId="2064"/>
    <cellStyle name="Currency 8 26" xfId="2065"/>
    <cellStyle name="Currency 8 27" xfId="2066"/>
    <cellStyle name="Currency 8 28" xfId="2067"/>
    <cellStyle name="Currency 8 29" xfId="2068"/>
    <cellStyle name="Currency 8 3" xfId="2069"/>
    <cellStyle name="Currency 8 3 2" xfId="2070"/>
    <cellStyle name="Currency 8 30" xfId="2071"/>
    <cellStyle name="Currency 8 31" xfId="2072"/>
    <cellStyle name="Currency 8 32" xfId="2073"/>
    <cellStyle name="Currency 8 33" xfId="2074"/>
    <cellStyle name="Currency 8 34" xfId="2075"/>
    <cellStyle name="Currency 8 35" xfId="2076"/>
    <cellStyle name="Currency 8 36" xfId="2077"/>
    <cellStyle name="Currency 8 37" xfId="2078"/>
    <cellStyle name="Currency 8 38" xfId="2079"/>
    <cellStyle name="Currency 8 38 2" xfId="2080"/>
    <cellStyle name="Currency 8 38 3" xfId="2081"/>
    <cellStyle name="Currency 8 38 4" xfId="2082"/>
    <cellStyle name="Currency 8 38 5" xfId="2083"/>
    <cellStyle name="Currency 8 38 6" xfId="2084"/>
    <cellStyle name="Currency 8 39" xfId="2085"/>
    <cellStyle name="Currency 8 4" xfId="2086"/>
    <cellStyle name="Currency 8 4 2" xfId="2087"/>
    <cellStyle name="Currency 8 40" xfId="2088"/>
    <cellStyle name="Currency 8 41" xfId="2089"/>
    <cellStyle name="Currency 8 42" xfId="2090"/>
    <cellStyle name="Currency 8 5" xfId="2091"/>
    <cellStyle name="Currency 8 5 2" xfId="2092"/>
    <cellStyle name="Currency 8 6" xfId="2093"/>
    <cellStyle name="Currency 8 6 2" xfId="2094"/>
    <cellStyle name="Currency 8 7" xfId="2095"/>
    <cellStyle name="Currency 8 7 2" xfId="2096"/>
    <cellStyle name="Currency 8 8" xfId="2097"/>
    <cellStyle name="Currency 8 8 2" xfId="2098"/>
    <cellStyle name="Currency 8 9" xfId="2099"/>
    <cellStyle name="Currency 8 9 2" xfId="2100"/>
    <cellStyle name="Currency 9" xfId="2101"/>
    <cellStyle name="Currency 9 10" xfId="2102"/>
    <cellStyle name="Currency 9 10 2" xfId="2103"/>
    <cellStyle name="Currency 9 11" xfId="2104"/>
    <cellStyle name="Currency 9 11 2" xfId="2105"/>
    <cellStyle name="Currency 9 12" xfId="2106"/>
    <cellStyle name="Currency 9 12 2" xfId="2107"/>
    <cellStyle name="Currency 9 13" xfId="2108"/>
    <cellStyle name="Currency 9 13 2" xfId="2109"/>
    <cellStyle name="Currency 9 14" xfId="2110"/>
    <cellStyle name="Currency 9 14 2" xfId="2111"/>
    <cellStyle name="Currency 9 15" xfId="2112"/>
    <cellStyle name="Currency 9 15 2" xfId="2113"/>
    <cellStyle name="Currency 9 16" xfId="2114"/>
    <cellStyle name="Currency 9 16 2" xfId="2115"/>
    <cellStyle name="Currency 9 17" xfId="2116"/>
    <cellStyle name="Currency 9 17 2" xfId="2117"/>
    <cellStyle name="Currency 9 18" xfId="2118"/>
    <cellStyle name="Currency 9 18 2" xfId="2119"/>
    <cellStyle name="Currency 9 19" xfId="2120"/>
    <cellStyle name="Currency 9 2" xfId="2121"/>
    <cellStyle name="Currency 9 2 2" xfId="2122"/>
    <cellStyle name="Currency 9 20" xfId="2123"/>
    <cellStyle name="Currency 9 21" xfId="2124"/>
    <cellStyle name="Currency 9 22" xfId="2125"/>
    <cellStyle name="Currency 9 23" xfId="2126"/>
    <cellStyle name="Currency 9 24" xfId="2127"/>
    <cellStyle name="Currency 9 25" xfId="2128"/>
    <cellStyle name="Currency 9 26" xfId="2129"/>
    <cellStyle name="Currency 9 27" xfId="2130"/>
    <cellStyle name="Currency 9 28" xfId="2131"/>
    <cellStyle name="Currency 9 29" xfId="2132"/>
    <cellStyle name="Currency 9 3" xfId="2133"/>
    <cellStyle name="Currency 9 3 2" xfId="2134"/>
    <cellStyle name="Currency 9 30" xfId="2135"/>
    <cellStyle name="Currency 9 31" xfId="2136"/>
    <cellStyle name="Currency 9 32" xfId="2137"/>
    <cellStyle name="Currency 9 33" xfId="2138"/>
    <cellStyle name="Currency 9 34" xfId="2139"/>
    <cellStyle name="Currency 9 35" xfId="2140"/>
    <cellStyle name="Currency 9 36" xfId="2141"/>
    <cellStyle name="Currency 9 37" xfId="2142"/>
    <cellStyle name="Currency 9 38" xfId="2143"/>
    <cellStyle name="Currency 9 38 2" xfId="2144"/>
    <cellStyle name="Currency 9 38 3" xfId="2145"/>
    <cellStyle name="Currency 9 38 4" xfId="2146"/>
    <cellStyle name="Currency 9 38 5" xfId="2147"/>
    <cellStyle name="Currency 9 38 6" xfId="2148"/>
    <cellStyle name="Currency 9 39" xfId="2149"/>
    <cellStyle name="Currency 9 4" xfId="2150"/>
    <cellStyle name="Currency 9 4 2" xfId="2151"/>
    <cellStyle name="Currency 9 40" xfId="2152"/>
    <cellStyle name="Currency 9 41" xfId="2153"/>
    <cellStyle name="Currency 9 42" xfId="2154"/>
    <cellStyle name="Currency 9 5" xfId="2155"/>
    <cellStyle name="Currency 9 5 2" xfId="2156"/>
    <cellStyle name="Currency 9 6" xfId="2157"/>
    <cellStyle name="Currency 9 6 2" xfId="2158"/>
    <cellStyle name="Currency 9 7" xfId="2159"/>
    <cellStyle name="Currency 9 7 2" xfId="2160"/>
    <cellStyle name="Currency 9 8" xfId="2161"/>
    <cellStyle name="Currency 9 8 2" xfId="2162"/>
    <cellStyle name="Currency 9 9" xfId="2163"/>
    <cellStyle name="Currency 9 9 2" xfId="2164"/>
    <cellStyle name="Explanatory Text 2" xfId="349"/>
    <cellStyle name="Explanatory Text 2 2" xfId="350"/>
    <cellStyle name="Explanatory Text 2 3" xfId="3782"/>
    <cellStyle name="Explanatory Text 3" xfId="351"/>
    <cellStyle name="Explanatory Text 3 2" xfId="352"/>
    <cellStyle name="Explanatory Text 3 3" xfId="3783"/>
    <cellStyle name="Explanatory Text 4" xfId="353"/>
    <cellStyle name="Explanatory Text 4 2" xfId="354"/>
    <cellStyle name="Explanatory Text 4 3" xfId="3784"/>
    <cellStyle name="Explanatory Text 5" xfId="355"/>
    <cellStyle name="Explanatory Text 5 2" xfId="356"/>
    <cellStyle name="Explanatory Text 5 3" xfId="3785"/>
    <cellStyle name="Good 2" xfId="357"/>
    <cellStyle name="Good 2 2" xfId="358"/>
    <cellStyle name="Good 2 3" xfId="3786"/>
    <cellStyle name="Good 3" xfId="359"/>
    <cellStyle name="Good 3 2" xfId="360"/>
    <cellStyle name="Good 3 3" xfId="3787"/>
    <cellStyle name="Good 4" xfId="361"/>
    <cellStyle name="Good 4 2" xfId="362"/>
    <cellStyle name="Good 4 3" xfId="3788"/>
    <cellStyle name="Good 5" xfId="363"/>
    <cellStyle name="Good 5 2" xfId="364"/>
    <cellStyle name="Good 5 3" xfId="3789"/>
    <cellStyle name="Heading 1 2" xfId="365"/>
    <cellStyle name="Heading 1 2 2" xfId="366"/>
    <cellStyle name="Heading 1 2 3" xfId="3790"/>
    <cellStyle name="Heading 1 3" xfId="367"/>
    <cellStyle name="Heading 1 3 2" xfId="368"/>
    <cellStyle name="Heading 1 3 3" xfId="3791"/>
    <cellStyle name="Heading 1 4" xfId="369"/>
    <cellStyle name="Heading 1 4 2" xfId="370"/>
    <cellStyle name="Heading 1 4 3" xfId="3792"/>
    <cellStyle name="Heading 1 5" xfId="371"/>
    <cellStyle name="Heading 1 5 2" xfId="372"/>
    <cellStyle name="Heading 1 5 3" xfId="3793"/>
    <cellStyle name="Heading 2 2" xfId="373"/>
    <cellStyle name="Heading 2 2 2" xfId="374"/>
    <cellStyle name="Heading 2 2 3" xfId="3794"/>
    <cellStyle name="Heading 2 3" xfId="375"/>
    <cellStyle name="Heading 2 3 2" xfId="376"/>
    <cellStyle name="Heading 2 3 3" xfId="3795"/>
    <cellStyle name="Heading 2 4" xfId="377"/>
    <cellStyle name="Heading 2 4 2" xfId="378"/>
    <cellStyle name="Heading 2 4 3" xfId="3796"/>
    <cellStyle name="Heading 2 5" xfId="379"/>
    <cellStyle name="Heading 2 5 2" xfId="380"/>
    <cellStyle name="Heading 2 5 3" xfId="3797"/>
    <cellStyle name="Heading 3 2" xfId="381"/>
    <cellStyle name="Heading 3 2 2" xfId="382"/>
    <cellStyle name="Heading 3 2 3" xfId="3798"/>
    <cellStyle name="Heading 3 3" xfId="383"/>
    <cellStyle name="Heading 3 3 2" xfId="384"/>
    <cellStyle name="Heading 3 3 3" xfId="3799"/>
    <cellStyle name="Heading 3 4" xfId="385"/>
    <cellStyle name="Heading 3 4 2" xfId="386"/>
    <cellStyle name="Heading 3 4 3" xfId="3800"/>
    <cellStyle name="Heading 3 5" xfId="387"/>
    <cellStyle name="Heading 3 5 2" xfId="388"/>
    <cellStyle name="Heading 3 5 3" xfId="3801"/>
    <cellStyle name="Heading 4 2" xfId="389"/>
    <cellStyle name="Heading 4 2 2" xfId="390"/>
    <cellStyle name="Heading 4 2 3" xfId="3802"/>
    <cellStyle name="Heading 4 3" xfId="391"/>
    <cellStyle name="Heading 4 3 2" xfId="392"/>
    <cellStyle name="Heading 4 3 3" xfId="3803"/>
    <cellStyle name="Heading 4 4" xfId="393"/>
    <cellStyle name="Heading 4 4 2" xfId="394"/>
    <cellStyle name="Heading 4 4 3" xfId="3804"/>
    <cellStyle name="Heading 4 5" xfId="395"/>
    <cellStyle name="Heading 4 5 2" xfId="396"/>
    <cellStyle name="Heading 4 5 3" xfId="3805"/>
    <cellStyle name="Input 2" xfId="397"/>
    <cellStyle name="Input 2 2" xfId="398"/>
    <cellStyle name="Input 2 3" xfId="3806"/>
    <cellStyle name="Input 3" xfId="399"/>
    <cellStyle name="Input 3 2" xfId="400"/>
    <cellStyle name="Input 3 3" xfId="3807"/>
    <cellStyle name="Input 4" xfId="401"/>
    <cellStyle name="Input 4 2" xfId="402"/>
    <cellStyle name="Input 4 3" xfId="3808"/>
    <cellStyle name="Input 5" xfId="403"/>
    <cellStyle name="Input 5 2" xfId="404"/>
    <cellStyle name="Input 5 3" xfId="3809"/>
    <cellStyle name="Linked Cell 2" xfId="405"/>
    <cellStyle name="Linked Cell 2 2" xfId="406"/>
    <cellStyle name="Linked Cell 2 3" xfId="3810"/>
    <cellStyle name="Linked Cell 3" xfId="407"/>
    <cellStyle name="Linked Cell 3 2" xfId="408"/>
    <cellStyle name="Linked Cell 3 3" xfId="3811"/>
    <cellStyle name="Linked Cell 4" xfId="409"/>
    <cellStyle name="Linked Cell 4 2" xfId="410"/>
    <cellStyle name="Linked Cell 4 3" xfId="3812"/>
    <cellStyle name="Linked Cell 5" xfId="411"/>
    <cellStyle name="Linked Cell 5 2" xfId="412"/>
    <cellStyle name="Linked Cell 5 3" xfId="3813"/>
    <cellStyle name="Neutral 2" xfId="413"/>
    <cellStyle name="Neutral 2 2" xfId="414"/>
    <cellStyle name="Neutral 2 3" xfId="3814"/>
    <cellStyle name="Neutral 3" xfId="415"/>
    <cellStyle name="Neutral 3 2" xfId="416"/>
    <cellStyle name="Neutral 3 3" xfId="3815"/>
    <cellStyle name="Neutral 4" xfId="417"/>
    <cellStyle name="Neutral 4 2" xfId="418"/>
    <cellStyle name="Neutral 4 3" xfId="3816"/>
    <cellStyle name="Neutral 5" xfId="419"/>
    <cellStyle name="Neutral 5 2" xfId="420"/>
    <cellStyle name="Neutral 5 3" xfId="3817"/>
    <cellStyle name="New Rep Unit" xfId="421"/>
    <cellStyle name="Normal" xfId="0" builtinId="0"/>
    <cellStyle name="Normal 10" xfId="2165"/>
    <cellStyle name="Normal 10 10" xfId="2166"/>
    <cellStyle name="Normal 10 11" xfId="2167"/>
    <cellStyle name="Normal 10 2" xfId="422"/>
    <cellStyle name="Normal 10 2 2" xfId="3818"/>
    <cellStyle name="Normal 10 3" xfId="423"/>
    <cellStyle name="Normal 10 3 2" xfId="3819"/>
    <cellStyle name="Normal 10 4" xfId="424"/>
    <cellStyle name="Normal 10 5" xfId="2168"/>
    <cellStyle name="Normal 10 6" xfId="2169"/>
    <cellStyle name="Normal 10 7" xfId="2170"/>
    <cellStyle name="Normal 10 8" xfId="2171"/>
    <cellStyle name="Normal 10 9" xfId="2172"/>
    <cellStyle name="Normal 100" xfId="425"/>
    <cellStyle name="Normal 100 10" xfId="2173"/>
    <cellStyle name="Normal 100 11" xfId="2174"/>
    <cellStyle name="Normal 100 2" xfId="2175"/>
    <cellStyle name="Normal 100 3" xfId="2176"/>
    <cellStyle name="Normal 100 4" xfId="2177"/>
    <cellStyle name="Normal 100 5" xfId="2178"/>
    <cellStyle name="Normal 100 6" xfId="2179"/>
    <cellStyle name="Normal 100 7" xfId="2180"/>
    <cellStyle name="Normal 100 8" xfId="2181"/>
    <cellStyle name="Normal 100 9" xfId="2182"/>
    <cellStyle name="Normal 101" xfId="426"/>
    <cellStyle name="Normal 101 10" xfId="2183"/>
    <cellStyle name="Normal 101 11" xfId="2184"/>
    <cellStyle name="Normal 101 2" xfId="2185"/>
    <cellStyle name="Normal 101 3" xfId="2186"/>
    <cellStyle name="Normal 101 4" xfId="2187"/>
    <cellStyle name="Normal 101 5" xfId="2188"/>
    <cellStyle name="Normal 101 6" xfId="2189"/>
    <cellStyle name="Normal 101 7" xfId="2190"/>
    <cellStyle name="Normal 101 8" xfId="2191"/>
    <cellStyle name="Normal 101 9" xfId="2192"/>
    <cellStyle name="Normal 102" xfId="427"/>
    <cellStyle name="Normal 102 10" xfId="2193"/>
    <cellStyle name="Normal 102 11" xfId="2194"/>
    <cellStyle name="Normal 102 2" xfId="2195"/>
    <cellStyle name="Normal 102 3" xfId="2196"/>
    <cellStyle name="Normal 102 4" xfId="2197"/>
    <cellStyle name="Normal 102 5" xfId="2198"/>
    <cellStyle name="Normal 102 6" xfId="2199"/>
    <cellStyle name="Normal 102 7" xfId="2200"/>
    <cellStyle name="Normal 102 8" xfId="2201"/>
    <cellStyle name="Normal 102 9" xfId="2202"/>
    <cellStyle name="Normal 103" xfId="428"/>
    <cellStyle name="Normal 104" xfId="429"/>
    <cellStyle name="Normal 104 10" xfId="2203"/>
    <cellStyle name="Normal 104 11" xfId="2204"/>
    <cellStyle name="Normal 104 2" xfId="2205"/>
    <cellStyle name="Normal 104 3" xfId="2206"/>
    <cellStyle name="Normal 104 4" xfId="2207"/>
    <cellStyle name="Normal 104 5" xfId="2208"/>
    <cellStyle name="Normal 104 6" xfId="2209"/>
    <cellStyle name="Normal 104 7" xfId="2210"/>
    <cellStyle name="Normal 104 8" xfId="2211"/>
    <cellStyle name="Normal 104 9" xfId="2212"/>
    <cellStyle name="Normal 105" xfId="430"/>
    <cellStyle name="Normal 106" xfId="431"/>
    <cellStyle name="Normal 107" xfId="432"/>
    <cellStyle name="Normal 107 10" xfId="2213"/>
    <cellStyle name="Normal 107 11" xfId="2214"/>
    <cellStyle name="Normal 107 2" xfId="2215"/>
    <cellStyle name="Normal 107 3" xfId="2216"/>
    <cellStyle name="Normal 107 4" xfId="2217"/>
    <cellStyle name="Normal 107 5" xfId="2218"/>
    <cellStyle name="Normal 107 6" xfId="2219"/>
    <cellStyle name="Normal 107 7" xfId="2220"/>
    <cellStyle name="Normal 107 8" xfId="2221"/>
    <cellStyle name="Normal 107 9" xfId="2222"/>
    <cellStyle name="Normal 108" xfId="433"/>
    <cellStyle name="Normal 109" xfId="434"/>
    <cellStyle name="Normal 109 10" xfId="2223"/>
    <cellStyle name="Normal 109 11" xfId="2224"/>
    <cellStyle name="Normal 109 2" xfId="2225"/>
    <cellStyle name="Normal 109 3" xfId="2226"/>
    <cellStyle name="Normal 109 4" xfId="2227"/>
    <cellStyle name="Normal 109 5" xfId="2228"/>
    <cellStyle name="Normal 109 6" xfId="2229"/>
    <cellStyle name="Normal 109 7" xfId="2230"/>
    <cellStyle name="Normal 109 8" xfId="2231"/>
    <cellStyle name="Normal 109 9" xfId="2232"/>
    <cellStyle name="Normal 11" xfId="2233"/>
    <cellStyle name="Normal 11 10" xfId="2234"/>
    <cellStyle name="Normal 11 11" xfId="2235"/>
    <cellStyle name="Normal 11 2" xfId="435"/>
    <cellStyle name="Normal 11 3" xfId="436"/>
    <cellStyle name="Normal 11 4" xfId="437"/>
    <cellStyle name="Normal 11 5" xfId="438"/>
    <cellStyle name="Normal 11 6" xfId="439"/>
    <cellStyle name="Normal 11 7" xfId="2236"/>
    <cellStyle name="Normal 11 8" xfId="2237"/>
    <cellStyle name="Normal 11 9" xfId="2238"/>
    <cellStyle name="Normal 110" xfId="440"/>
    <cellStyle name="Normal 110 10" xfId="2239"/>
    <cellStyle name="Normal 110 11" xfId="2240"/>
    <cellStyle name="Normal 110 2" xfId="2241"/>
    <cellStyle name="Normal 110 3" xfId="2242"/>
    <cellStyle name="Normal 110 4" xfId="2243"/>
    <cellStyle name="Normal 110 5" xfId="2244"/>
    <cellStyle name="Normal 110 6" xfId="2245"/>
    <cellStyle name="Normal 110 7" xfId="2246"/>
    <cellStyle name="Normal 110 8" xfId="2247"/>
    <cellStyle name="Normal 110 9" xfId="2248"/>
    <cellStyle name="Normal 111" xfId="441"/>
    <cellStyle name="Normal 111 10" xfId="2249"/>
    <cellStyle name="Normal 111 11" xfId="2250"/>
    <cellStyle name="Normal 111 2" xfId="2251"/>
    <cellStyle name="Normal 111 3" xfId="2252"/>
    <cellStyle name="Normal 111 4" xfId="2253"/>
    <cellStyle name="Normal 111 5" xfId="2254"/>
    <cellStyle name="Normal 111 6" xfId="2255"/>
    <cellStyle name="Normal 111 7" xfId="2256"/>
    <cellStyle name="Normal 111 8" xfId="2257"/>
    <cellStyle name="Normal 111 9" xfId="2258"/>
    <cellStyle name="Normal 112" xfId="442"/>
    <cellStyle name="Normal 112 10" xfId="2259"/>
    <cellStyle name="Normal 112 11" xfId="2260"/>
    <cellStyle name="Normal 112 2" xfId="2261"/>
    <cellStyle name="Normal 112 3" xfId="2262"/>
    <cellStyle name="Normal 112 4" xfId="2263"/>
    <cellStyle name="Normal 112 5" xfId="2264"/>
    <cellStyle name="Normal 112 6" xfId="2265"/>
    <cellStyle name="Normal 112 7" xfId="2266"/>
    <cellStyle name="Normal 112 8" xfId="2267"/>
    <cellStyle name="Normal 112 9" xfId="2268"/>
    <cellStyle name="Normal 113" xfId="443"/>
    <cellStyle name="Normal 113 10" xfId="2269"/>
    <cellStyle name="Normal 113 11" xfId="2270"/>
    <cellStyle name="Normal 113 2" xfId="2271"/>
    <cellStyle name="Normal 113 3" xfId="2272"/>
    <cellStyle name="Normal 113 4" xfId="2273"/>
    <cellStyle name="Normal 113 5" xfId="2274"/>
    <cellStyle name="Normal 113 6" xfId="2275"/>
    <cellStyle name="Normal 113 7" xfId="2276"/>
    <cellStyle name="Normal 113 8" xfId="2277"/>
    <cellStyle name="Normal 113 9" xfId="2278"/>
    <cellStyle name="Normal 114" xfId="444"/>
    <cellStyle name="Normal 114 10" xfId="2279"/>
    <cellStyle name="Normal 114 11" xfId="2280"/>
    <cellStyle name="Normal 114 2" xfId="2281"/>
    <cellStyle name="Normal 114 3" xfId="2282"/>
    <cellStyle name="Normal 114 4" xfId="2283"/>
    <cellStyle name="Normal 114 5" xfId="2284"/>
    <cellStyle name="Normal 114 6" xfId="2285"/>
    <cellStyle name="Normal 114 7" xfId="2286"/>
    <cellStyle name="Normal 114 8" xfId="2287"/>
    <cellStyle name="Normal 114 9" xfId="2288"/>
    <cellStyle name="Normal 115" xfId="445"/>
    <cellStyle name="Normal 116" xfId="446"/>
    <cellStyle name="Normal 117" xfId="447"/>
    <cellStyle name="Normal 117 10" xfId="2289"/>
    <cellStyle name="Normal 117 11" xfId="2290"/>
    <cellStyle name="Normal 117 2" xfId="2291"/>
    <cellStyle name="Normal 117 3" xfId="2292"/>
    <cellStyle name="Normal 117 4" xfId="2293"/>
    <cellStyle name="Normal 117 5" xfId="2294"/>
    <cellStyle name="Normal 117 6" xfId="2295"/>
    <cellStyle name="Normal 117 7" xfId="2296"/>
    <cellStyle name="Normal 117 8" xfId="2297"/>
    <cellStyle name="Normal 117 9" xfId="2298"/>
    <cellStyle name="Normal 118" xfId="448"/>
    <cellStyle name="Normal 118 10" xfId="2299"/>
    <cellStyle name="Normal 118 11" xfId="2300"/>
    <cellStyle name="Normal 118 2" xfId="2301"/>
    <cellStyle name="Normal 118 3" xfId="2302"/>
    <cellStyle name="Normal 118 4" xfId="2303"/>
    <cellStyle name="Normal 118 5" xfId="2304"/>
    <cellStyle name="Normal 118 6" xfId="2305"/>
    <cellStyle name="Normal 118 7" xfId="2306"/>
    <cellStyle name="Normal 118 8" xfId="2307"/>
    <cellStyle name="Normal 118 9" xfId="2308"/>
    <cellStyle name="Normal 119" xfId="449"/>
    <cellStyle name="Normal 12" xfId="450"/>
    <cellStyle name="Normal 12 10" xfId="2309"/>
    <cellStyle name="Normal 12 11" xfId="2310"/>
    <cellStyle name="Normal 12 2" xfId="2311"/>
    <cellStyle name="Normal 12 3" xfId="2312"/>
    <cellStyle name="Normal 12 4" xfId="2313"/>
    <cellStyle name="Normal 12 5" xfId="2314"/>
    <cellStyle name="Normal 12 6" xfId="2315"/>
    <cellStyle name="Normal 12 7" xfId="2316"/>
    <cellStyle name="Normal 12 8" xfId="2317"/>
    <cellStyle name="Normal 12 9" xfId="2318"/>
    <cellStyle name="Normal 120" xfId="451"/>
    <cellStyle name="Normal 121" xfId="452"/>
    <cellStyle name="Normal 121 10" xfId="2319"/>
    <cellStyle name="Normal 121 11" xfId="2320"/>
    <cellStyle name="Normal 121 2" xfId="2321"/>
    <cellStyle name="Normal 121 3" xfId="2322"/>
    <cellStyle name="Normal 121 4" xfId="2323"/>
    <cellStyle name="Normal 121 5" xfId="2324"/>
    <cellStyle name="Normal 121 6" xfId="2325"/>
    <cellStyle name="Normal 121 7" xfId="2326"/>
    <cellStyle name="Normal 121 8" xfId="2327"/>
    <cellStyle name="Normal 121 9" xfId="2328"/>
    <cellStyle name="Normal 122" xfId="2329"/>
    <cellStyle name="Normal 122 10" xfId="2330"/>
    <cellStyle name="Normal 122 11" xfId="2331"/>
    <cellStyle name="Normal 122 2" xfId="2332"/>
    <cellStyle name="Normal 122 3" xfId="2333"/>
    <cellStyle name="Normal 122 4" xfId="2334"/>
    <cellStyle name="Normal 122 5" xfId="2335"/>
    <cellStyle name="Normal 122 6" xfId="2336"/>
    <cellStyle name="Normal 122 7" xfId="2337"/>
    <cellStyle name="Normal 122 8" xfId="2338"/>
    <cellStyle name="Normal 122 9" xfId="2339"/>
    <cellStyle name="Normal 123" xfId="453"/>
    <cellStyle name="Normal 123 10" xfId="2340"/>
    <cellStyle name="Normal 123 11" xfId="2341"/>
    <cellStyle name="Normal 123 2" xfId="2342"/>
    <cellStyle name="Normal 123 3" xfId="2343"/>
    <cellStyle name="Normal 123 4" xfId="2344"/>
    <cellStyle name="Normal 123 5" xfId="2345"/>
    <cellStyle name="Normal 123 6" xfId="2346"/>
    <cellStyle name="Normal 123 7" xfId="2347"/>
    <cellStyle name="Normal 123 8" xfId="2348"/>
    <cellStyle name="Normal 123 9" xfId="2349"/>
    <cellStyle name="Normal 124" xfId="454"/>
    <cellStyle name="Normal 124 10" xfId="2350"/>
    <cellStyle name="Normal 124 11" xfId="2351"/>
    <cellStyle name="Normal 124 2" xfId="2352"/>
    <cellStyle name="Normal 124 3" xfId="2353"/>
    <cellStyle name="Normal 124 4" xfId="2354"/>
    <cellStyle name="Normal 124 5" xfId="2355"/>
    <cellStyle name="Normal 124 6" xfId="2356"/>
    <cellStyle name="Normal 124 7" xfId="2357"/>
    <cellStyle name="Normal 124 8" xfId="2358"/>
    <cellStyle name="Normal 124 9" xfId="2359"/>
    <cellStyle name="Normal 125" xfId="2360"/>
    <cellStyle name="Normal 126" xfId="2361"/>
    <cellStyle name="Normal 126 10" xfId="2362"/>
    <cellStyle name="Normal 126 11" xfId="2363"/>
    <cellStyle name="Normal 126 2" xfId="2364"/>
    <cellStyle name="Normal 126 3" xfId="2365"/>
    <cellStyle name="Normal 126 4" xfId="2366"/>
    <cellStyle name="Normal 126 5" xfId="2367"/>
    <cellStyle name="Normal 126 6" xfId="2368"/>
    <cellStyle name="Normal 126 7" xfId="2369"/>
    <cellStyle name="Normal 126 8" xfId="2370"/>
    <cellStyle name="Normal 126 9" xfId="2371"/>
    <cellStyle name="Normal 127" xfId="2372"/>
    <cellStyle name="Normal 128" xfId="455"/>
    <cellStyle name="Normal 128 10" xfId="2373"/>
    <cellStyle name="Normal 128 11" xfId="2374"/>
    <cellStyle name="Normal 128 2" xfId="2375"/>
    <cellStyle name="Normal 128 3" xfId="2376"/>
    <cellStyle name="Normal 128 4" xfId="2377"/>
    <cellStyle name="Normal 128 5" xfId="2378"/>
    <cellStyle name="Normal 128 6" xfId="2379"/>
    <cellStyle name="Normal 128 7" xfId="2380"/>
    <cellStyle name="Normal 128 8" xfId="2381"/>
    <cellStyle name="Normal 128 9" xfId="2382"/>
    <cellStyle name="Normal 129" xfId="2383"/>
    <cellStyle name="Normal 129 10" xfId="2384"/>
    <cellStyle name="Normal 129 11" xfId="2385"/>
    <cellStyle name="Normal 129 2" xfId="2386"/>
    <cellStyle name="Normal 129 3" xfId="2387"/>
    <cellStyle name="Normal 129 4" xfId="2388"/>
    <cellStyle name="Normal 129 5" xfId="2389"/>
    <cellStyle name="Normal 129 6" xfId="2390"/>
    <cellStyle name="Normal 129 7" xfId="2391"/>
    <cellStyle name="Normal 129 8" xfId="2392"/>
    <cellStyle name="Normal 129 9" xfId="2393"/>
    <cellStyle name="Normal 13" xfId="456"/>
    <cellStyle name="Normal 13 10" xfId="2394"/>
    <cellStyle name="Normal 13 11" xfId="2395"/>
    <cellStyle name="Normal 13 2" xfId="2396"/>
    <cellStyle name="Normal 13 3" xfId="2397"/>
    <cellStyle name="Normal 13 4" xfId="2398"/>
    <cellStyle name="Normal 13 5" xfId="2399"/>
    <cellStyle name="Normal 13 6" xfId="2400"/>
    <cellStyle name="Normal 13 7" xfId="2401"/>
    <cellStyle name="Normal 13 8" xfId="2402"/>
    <cellStyle name="Normal 13 9" xfId="2403"/>
    <cellStyle name="Normal 130" xfId="2404"/>
    <cellStyle name="Normal 130 10" xfId="2405"/>
    <cellStyle name="Normal 130 11" xfId="2406"/>
    <cellStyle name="Normal 130 2" xfId="2407"/>
    <cellStyle name="Normal 130 3" xfId="2408"/>
    <cellStyle name="Normal 130 4" xfId="2409"/>
    <cellStyle name="Normal 130 5" xfId="2410"/>
    <cellStyle name="Normal 130 6" xfId="2411"/>
    <cellStyle name="Normal 130 7" xfId="2412"/>
    <cellStyle name="Normal 130 8" xfId="2413"/>
    <cellStyle name="Normal 130 9" xfId="2414"/>
    <cellStyle name="Normal 131" xfId="2415"/>
    <cellStyle name="Normal 131 10" xfId="2416"/>
    <cellStyle name="Normal 131 11" xfId="2417"/>
    <cellStyle name="Normal 131 2" xfId="2418"/>
    <cellStyle name="Normal 131 3" xfId="2419"/>
    <cellStyle name="Normal 131 4" xfId="2420"/>
    <cellStyle name="Normal 131 5" xfId="2421"/>
    <cellStyle name="Normal 131 6" xfId="2422"/>
    <cellStyle name="Normal 131 7" xfId="2423"/>
    <cellStyle name="Normal 131 8" xfId="2424"/>
    <cellStyle name="Normal 131 9" xfId="2425"/>
    <cellStyle name="Normal 132" xfId="2426"/>
    <cellStyle name="Normal 132 10" xfId="2427"/>
    <cellStyle name="Normal 132 11" xfId="2428"/>
    <cellStyle name="Normal 132 2" xfId="2429"/>
    <cellStyle name="Normal 132 3" xfId="2430"/>
    <cellStyle name="Normal 132 4" xfId="2431"/>
    <cellStyle name="Normal 132 5" xfId="2432"/>
    <cellStyle name="Normal 132 6" xfId="2433"/>
    <cellStyle name="Normal 132 7" xfId="2434"/>
    <cellStyle name="Normal 132 8" xfId="2435"/>
    <cellStyle name="Normal 132 9" xfId="2436"/>
    <cellStyle name="Normal 133" xfId="2437"/>
    <cellStyle name="Normal 134" xfId="2438"/>
    <cellStyle name="Normal 135" xfId="2439"/>
    <cellStyle name="Normal 135 10" xfId="2440"/>
    <cellStyle name="Normal 135 11" xfId="2441"/>
    <cellStyle name="Normal 135 2" xfId="457"/>
    <cellStyle name="Normal 135 2 2" xfId="3658"/>
    <cellStyle name="Normal 135 3" xfId="2442"/>
    <cellStyle name="Normal 135 4" xfId="2443"/>
    <cellStyle name="Normal 135 5" xfId="2444"/>
    <cellStyle name="Normal 135 6" xfId="2445"/>
    <cellStyle name="Normal 135 7" xfId="2446"/>
    <cellStyle name="Normal 135 8" xfId="2447"/>
    <cellStyle name="Normal 135 9" xfId="2448"/>
    <cellStyle name="Normal 136" xfId="2449"/>
    <cellStyle name="Normal 136 10" xfId="2450"/>
    <cellStyle name="Normal 136 11" xfId="2451"/>
    <cellStyle name="Normal 136 2" xfId="2452"/>
    <cellStyle name="Normal 136 3" xfId="2453"/>
    <cellStyle name="Normal 136 4" xfId="2454"/>
    <cellStyle name="Normal 136 5" xfId="2455"/>
    <cellStyle name="Normal 136 6" xfId="2456"/>
    <cellStyle name="Normal 136 7" xfId="2457"/>
    <cellStyle name="Normal 136 8" xfId="2458"/>
    <cellStyle name="Normal 136 9" xfId="2459"/>
    <cellStyle name="Normal 137" xfId="2460"/>
    <cellStyle name="Normal 137 10" xfId="2461"/>
    <cellStyle name="Normal 137 11" xfId="2462"/>
    <cellStyle name="Normal 137 2" xfId="2463"/>
    <cellStyle name="Normal 137 3" xfId="2464"/>
    <cellStyle name="Normal 137 4" xfId="2465"/>
    <cellStyle name="Normal 137 5" xfId="2466"/>
    <cellStyle name="Normal 137 6" xfId="2467"/>
    <cellStyle name="Normal 137 7" xfId="2468"/>
    <cellStyle name="Normal 137 8" xfId="2469"/>
    <cellStyle name="Normal 137 9" xfId="2470"/>
    <cellStyle name="Normal 138" xfId="2471"/>
    <cellStyle name="Normal 139" xfId="458"/>
    <cellStyle name="Normal 139 10" xfId="2472"/>
    <cellStyle name="Normal 139 11" xfId="2473"/>
    <cellStyle name="Normal 139 2" xfId="2474"/>
    <cellStyle name="Normal 139 3" xfId="2475"/>
    <cellStyle name="Normal 139 4" xfId="2476"/>
    <cellStyle name="Normal 139 5" xfId="2477"/>
    <cellStyle name="Normal 139 6" xfId="2478"/>
    <cellStyle name="Normal 139 7" xfId="2479"/>
    <cellStyle name="Normal 139 8" xfId="2480"/>
    <cellStyle name="Normal 139 9" xfId="2481"/>
    <cellStyle name="Normal 14" xfId="459"/>
    <cellStyle name="Normal 14 10" xfId="2482"/>
    <cellStyle name="Normal 14 11" xfId="2483"/>
    <cellStyle name="Normal 14 2" xfId="2484"/>
    <cellStyle name="Normal 14 3" xfId="2485"/>
    <cellStyle name="Normal 14 4" xfId="2486"/>
    <cellStyle name="Normal 14 5" xfId="2487"/>
    <cellStyle name="Normal 14 6" xfId="2488"/>
    <cellStyle name="Normal 14 7" xfId="2489"/>
    <cellStyle name="Normal 14 8" xfId="2490"/>
    <cellStyle name="Normal 14 9" xfId="2491"/>
    <cellStyle name="Normal 140" xfId="460"/>
    <cellStyle name="Normal 140 10" xfId="2492"/>
    <cellStyle name="Normal 140 11" xfId="2493"/>
    <cellStyle name="Normal 140 2" xfId="2494"/>
    <cellStyle name="Normal 140 3" xfId="2495"/>
    <cellStyle name="Normal 140 4" xfId="2496"/>
    <cellStyle name="Normal 140 5" xfId="2497"/>
    <cellStyle name="Normal 140 6" xfId="2498"/>
    <cellStyle name="Normal 140 7" xfId="2499"/>
    <cellStyle name="Normal 140 8" xfId="2500"/>
    <cellStyle name="Normal 140 9" xfId="2501"/>
    <cellStyle name="Normal 141" xfId="2502"/>
    <cellStyle name="Normal 142" xfId="461"/>
    <cellStyle name="Normal 142 10" xfId="2503"/>
    <cellStyle name="Normal 142 11" xfId="2504"/>
    <cellStyle name="Normal 142 2" xfId="2505"/>
    <cellStyle name="Normal 142 3" xfId="2506"/>
    <cellStyle name="Normal 142 4" xfId="2507"/>
    <cellStyle name="Normal 142 5" xfId="2508"/>
    <cellStyle name="Normal 142 6" xfId="2509"/>
    <cellStyle name="Normal 142 7" xfId="2510"/>
    <cellStyle name="Normal 142 8" xfId="2511"/>
    <cellStyle name="Normal 142 9" xfId="2512"/>
    <cellStyle name="Normal 143" xfId="462"/>
    <cellStyle name="Normal 143 10" xfId="2513"/>
    <cellStyle name="Normal 143 11" xfId="2514"/>
    <cellStyle name="Normal 143 2" xfId="2515"/>
    <cellStyle name="Normal 143 3" xfId="2516"/>
    <cellStyle name="Normal 143 4" xfId="2517"/>
    <cellStyle name="Normal 143 5" xfId="2518"/>
    <cellStyle name="Normal 143 6" xfId="2519"/>
    <cellStyle name="Normal 143 7" xfId="2520"/>
    <cellStyle name="Normal 143 8" xfId="2521"/>
    <cellStyle name="Normal 143 9" xfId="2522"/>
    <cellStyle name="Normal 144" xfId="2523"/>
    <cellStyle name="Normal 144 10" xfId="2524"/>
    <cellStyle name="Normal 144 11" xfId="2525"/>
    <cellStyle name="Normal 144 2" xfId="2526"/>
    <cellStyle name="Normal 144 3" xfId="2527"/>
    <cellStyle name="Normal 144 4" xfId="2528"/>
    <cellStyle name="Normal 144 5" xfId="2529"/>
    <cellStyle name="Normal 144 6" xfId="2530"/>
    <cellStyle name="Normal 144 7" xfId="2531"/>
    <cellStyle name="Normal 144 8" xfId="2532"/>
    <cellStyle name="Normal 144 9" xfId="2533"/>
    <cellStyle name="Normal 145" xfId="2534"/>
    <cellStyle name="Normal 146" xfId="2535"/>
    <cellStyle name="Normal 147" xfId="2536"/>
    <cellStyle name="Normal 148" xfId="2537"/>
    <cellStyle name="Normal 149" xfId="2538"/>
    <cellStyle name="Normal 15" xfId="463"/>
    <cellStyle name="Normal 15 10" xfId="2539"/>
    <cellStyle name="Normal 15 11" xfId="2540"/>
    <cellStyle name="Normal 15 2" xfId="2541"/>
    <cellStyle name="Normal 15 3" xfId="2542"/>
    <cellStyle name="Normal 15 4" xfId="2543"/>
    <cellStyle name="Normal 15 5" xfId="2544"/>
    <cellStyle name="Normal 15 6" xfId="2545"/>
    <cellStyle name="Normal 15 7" xfId="2546"/>
    <cellStyle name="Normal 15 8" xfId="2547"/>
    <cellStyle name="Normal 15 9" xfId="2548"/>
    <cellStyle name="Normal 150" xfId="2549"/>
    <cellStyle name="Normal 151" xfId="2550"/>
    <cellStyle name="Normal 152" xfId="2551"/>
    <cellStyle name="Normal 153" xfId="2552"/>
    <cellStyle name="Normal 154" xfId="2553"/>
    <cellStyle name="Normal 155" xfId="2554"/>
    <cellStyle name="Normal 156" xfId="2555"/>
    <cellStyle name="Normal 157" xfId="2556"/>
    <cellStyle name="Normal 158" xfId="2557"/>
    <cellStyle name="Normal 159" xfId="2558"/>
    <cellStyle name="Normal 16" xfId="464"/>
    <cellStyle name="Normal 16 10" xfId="2559"/>
    <cellStyle name="Normal 16 11" xfId="2560"/>
    <cellStyle name="Normal 16 2" xfId="2561"/>
    <cellStyle name="Normal 16 3" xfId="2562"/>
    <cellStyle name="Normal 16 4" xfId="2563"/>
    <cellStyle name="Normal 16 5" xfId="2564"/>
    <cellStyle name="Normal 16 6" xfId="2565"/>
    <cellStyle name="Normal 16 7" xfId="2566"/>
    <cellStyle name="Normal 16 8" xfId="2567"/>
    <cellStyle name="Normal 16 9" xfId="2568"/>
    <cellStyle name="Normal 160" xfId="2569"/>
    <cellStyle name="Normal 160 10" xfId="2570"/>
    <cellStyle name="Normal 160 11" xfId="2571"/>
    <cellStyle name="Normal 160 2" xfId="2572"/>
    <cellStyle name="Normal 160 3" xfId="2573"/>
    <cellStyle name="Normal 160 4" xfId="2574"/>
    <cellStyle name="Normal 160 5" xfId="2575"/>
    <cellStyle name="Normal 160 6" xfId="2576"/>
    <cellStyle name="Normal 160 7" xfId="2577"/>
    <cellStyle name="Normal 160 8" xfId="2578"/>
    <cellStyle name="Normal 160 9" xfId="2579"/>
    <cellStyle name="Normal 161" xfId="2580"/>
    <cellStyle name="Normal 161 10" xfId="2581"/>
    <cellStyle name="Normal 161 11" xfId="2582"/>
    <cellStyle name="Normal 161 2" xfId="2583"/>
    <cellStyle name="Normal 161 3" xfId="2584"/>
    <cellStyle name="Normal 161 4" xfId="2585"/>
    <cellStyle name="Normal 161 5" xfId="2586"/>
    <cellStyle name="Normal 161 6" xfId="2587"/>
    <cellStyle name="Normal 161 7" xfId="2588"/>
    <cellStyle name="Normal 161 8" xfId="2589"/>
    <cellStyle name="Normal 161 9" xfId="2590"/>
    <cellStyle name="Normal 162" xfId="2591"/>
    <cellStyle name="Normal 162 10" xfId="2592"/>
    <cellStyle name="Normal 162 11" xfId="2593"/>
    <cellStyle name="Normal 162 2" xfId="2594"/>
    <cellStyle name="Normal 162 3" xfId="2595"/>
    <cellStyle name="Normal 162 4" xfId="2596"/>
    <cellStyle name="Normal 162 5" xfId="2597"/>
    <cellStyle name="Normal 162 6" xfId="2598"/>
    <cellStyle name="Normal 162 7" xfId="2599"/>
    <cellStyle name="Normal 162 8" xfId="2600"/>
    <cellStyle name="Normal 162 9" xfId="2601"/>
    <cellStyle name="Normal 163" xfId="2602"/>
    <cellStyle name="Normal 163 10" xfId="2603"/>
    <cellStyle name="Normal 163 11" xfId="2604"/>
    <cellStyle name="Normal 163 2" xfId="2605"/>
    <cellStyle name="Normal 163 3" xfId="2606"/>
    <cellStyle name="Normal 163 4" xfId="2607"/>
    <cellStyle name="Normal 163 5" xfId="2608"/>
    <cellStyle name="Normal 163 6" xfId="2609"/>
    <cellStyle name="Normal 163 7" xfId="2610"/>
    <cellStyle name="Normal 163 8" xfId="2611"/>
    <cellStyle name="Normal 163 9" xfId="2612"/>
    <cellStyle name="Normal 164" xfId="2613"/>
    <cellStyle name="Normal 164 10" xfId="2614"/>
    <cellStyle name="Normal 164 11" xfId="2615"/>
    <cellStyle name="Normal 164 2" xfId="2616"/>
    <cellStyle name="Normal 164 3" xfId="2617"/>
    <cellStyle name="Normal 164 4" xfId="2618"/>
    <cellStyle name="Normal 164 5" xfId="2619"/>
    <cellStyle name="Normal 164 6" xfId="2620"/>
    <cellStyle name="Normal 164 7" xfId="2621"/>
    <cellStyle name="Normal 164 8" xfId="2622"/>
    <cellStyle name="Normal 164 9" xfId="2623"/>
    <cellStyle name="Normal 165" xfId="2624"/>
    <cellStyle name="Normal 165 10" xfId="2625"/>
    <cellStyle name="Normal 165 11" xfId="2626"/>
    <cellStyle name="Normal 165 2" xfId="2627"/>
    <cellStyle name="Normal 165 3" xfId="2628"/>
    <cellStyle name="Normal 165 4" xfId="2629"/>
    <cellStyle name="Normal 165 5" xfId="2630"/>
    <cellStyle name="Normal 165 6" xfId="2631"/>
    <cellStyle name="Normal 165 7" xfId="2632"/>
    <cellStyle name="Normal 165 8" xfId="2633"/>
    <cellStyle name="Normal 165 9" xfId="2634"/>
    <cellStyle name="Normal 166" xfId="2635"/>
    <cellStyle name="Normal 166 10" xfId="2636"/>
    <cellStyle name="Normal 166 11" xfId="2637"/>
    <cellStyle name="Normal 166 2" xfId="2638"/>
    <cellStyle name="Normal 166 3" xfId="2639"/>
    <cellStyle name="Normal 166 4" xfId="2640"/>
    <cellStyle name="Normal 166 5" xfId="2641"/>
    <cellStyle name="Normal 166 6" xfId="2642"/>
    <cellStyle name="Normal 166 7" xfId="2643"/>
    <cellStyle name="Normal 166 8" xfId="2644"/>
    <cellStyle name="Normal 166 9" xfId="2645"/>
    <cellStyle name="Normal 167" xfId="2646"/>
    <cellStyle name="Normal 167 10" xfId="2647"/>
    <cellStyle name="Normal 167 11" xfId="2648"/>
    <cellStyle name="Normal 167 2" xfId="2649"/>
    <cellStyle name="Normal 167 3" xfId="2650"/>
    <cellStyle name="Normal 167 4" xfId="2651"/>
    <cellStyle name="Normal 167 5" xfId="2652"/>
    <cellStyle name="Normal 167 6" xfId="2653"/>
    <cellStyle name="Normal 167 7" xfId="2654"/>
    <cellStyle name="Normal 167 8" xfId="2655"/>
    <cellStyle name="Normal 167 9" xfId="2656"/>
    <cellStyle name="Normal 168" xfId="2657"/>
    <cellStyle name="Normal 168 10" xfId="2658"/>
    <cellStyle name="Normal 168 11" xfId="2659"/>
    <cellStyle name="Normal 168 2" xfId="2660"/>
    <cellStyle name="Normal 168 3" xfId="2661"/>
    <cellStyle name="Normal 168 4" xfId="2662"/>
    <cellStyle name="Normal 168 5" xfId="2663"/>
    <cellStyle name="Normal 168 6" xfId="2664"/>
    <cellStyle name="Normal 168 7" xfId="2665"/>
    <cellStyle name="Normal 168 8" xfId="2666"/>
    <cellStyle name="Normal 168 9" xfId="2667"/>
    <cellStyle name="Normal 169" xfId="2668"/>
    <cellStyle name="Normal 169 10" xfId="2669"/>
    <cellStyle name="Normal 169 11" xfId="2670"/>
    <cellStyle name="Normal 169 2" xfId="2671"/>
    <cellStyle name="Normal 169 3" xfId="2672"/>
    <cellStyle name="Normal 169 4" xfId="2673"/>
    <cellStyle name="Normal 169 5" xfId="2674"/>
    <cellStyle name="Normal 169 6" xfId="2675"/>
    <cellStyle name="Normal 169 7" xfId="2676"/>
    <cellStyle name="Normal 169 8" xfId="2677"/>
    <cellStyle name="Normal 169 9" xfId="2678"/>
    <cellStyle name="Normal 17" xfId="465"/>
    <cellStyle name="Normal 17 10" xfId="2679"/>
    <cellStyle name="Normal 17 11" xfId="2680"/>
    <cellStyle name="Normal 17 2" xfId="2681"/>
    <cellStyle name="Normal 17 3" xfId="2682"/>
    <cellStyle name="Normal 17 4" xfId="2683"/>
    <cellStyle name="Normal 17 5" xfId="2684"/>
    <cellStyle name="Normal 17 6" xfId="2685"/>
    <cellStyle name="Normal 17 7" xfId="2686"/>
    <cellStyle name="Normal 17 8" xfId="2687"/>
    <cellStyle name="Normal 17 9" xfId="2688"/>
    <cellStyle name="Normal 170" xfId="2689"/>
    <cellStyle name="Normal 170 10" xfId="2690"/>
    <cellStyle name="Normal 170 11" xfId="2691"/>
    <cellStyle name="Normal 170 2" xfId="2692"/>
    <cellStyle name="Normal 170 3" xfId="2693"/>
    <cellStyle name="Normal 170 4" xfId="2694"/>
    <cellStyle name="Normal 170 5" xfId="2695"/>
    <cellStyle name="Normal 170 6" xfId="2696"/>
    <cellStyle name="Normal 170 7" xfId="2697"/>
    <cellStyle name="Normal 170 8" xfId="2698"/>
    <cellStyle name="Normal 170 9" xfId="2699"/>
    <cellStyle name="Normal 171" xfId="2700"/>
    <cellStyle name="Normal 171 10" xfId="2701"/>
    <cellStyle name="Normal 171 11" xfId="2702"/>
    <cellStyle name="Normal 171 2" xfId="2703"/>
    <cellStyle name="Normal 171 3" xfId="2704"/>
    <cellStyle name="Normal 171 4" xfId="2705"/>
    <cellStyle name="Normal 171 5" xfId="2706"/>
    <cellStyle name="Normal 171 6" xfId="2707"/>
    <cellStyle name="Normal 171 7" xfId="2708"/>
    <cellStyle name="Normal 171 8" xfId="2709"/>
    <cellStyle name="Normal 171 9" xfId="2710"/>
    <cellStyle name="Normal 172" xfId="2711"/>
    <cellStyle name="Normal 172 10" xfId="2712"/>
    <cellStyle name="Normal 172 11" xfId="2713"/>
    <cellStyle name="Normal 172 2" xfId="2714"/>
    <cellStyle name="Normal 172 3" xfId="2715"/>
    <cellStyle name="Normal 172 4" xfId="2716"/>
    <cellStyle name="Normal 172 5" xfId="2717"/>
    <cellStyle name="Normal 172 6" xfId="2718"/>
    <cellStyle name="Normal 172 7" xfId="2719"/>
    <cellStyle name="Normal 172 8" xfId="2720"/>
    <cellStyle name="Normal 172 9" xfId="2721"/>
    <cellStyle name="Normal 173" xfId="2722"/>
    <cellStyle name="Normal 173 10" xfId="2723"/>
    <cellStyle name="Normal 173 11" xfId="2724"/>
    <cellStyle name="Normal 173 2" xfId="2725"/>
    <cellStyle name="Normal 173 3" xfId="2726"/>
    <cellStyle name="Normal 173 4" xfId="2727"/>
    <cellStyle name="Normal 173 5" xfId="2728"/>
    <cellStyle name="Normal 173 6" xfId="2729"/>
    <cellStyle name="Normal 173 7" xfId="2730"/>
    <cellStyle name="Normal 173 8" xfId="2731"/>
    <cellStyle name="Normal 173 9" xfId="2732"/>
    <cellStyle name="Normal 174" xfId="2733"/>
    <cellStyle name="Normal 174 10" xfId="2734"/>
    <cellStyle name="Normal 174 11" xfId="2735"/>
    <cellStyle name="Normal 174 2" xfId="2736"/>
    <cellStyle name="Normal 174 3" xfId="2737"/>
    <cellStyle name="Normal 174 4" xfId="2738"/>
    <cellStyle name="Normal 174 5" xfId="2739"/>
    <cellStyle name="Normal 174 6" xfId="2740"/>
    <cellStyle name="Normal 174 7" xfId="2741"/>
    <cellStyle name="Normal 174 8" xfId="2742"/>
    <cellStyle name="Normal 174 9" xfId="2743"/>
    <cellStyle name="Normal 175" xfId="2744"/>
    <cellStyle name="Normal 175 10" xfId="2745"/>
    <cellStyle name="Normal 175 11" xfId="2746"/>
    <cellStyle name="Normal 175 2" xfId="2747"/>
    <cellStyle name="Normal 175 3" xfId="2748"/>
    <cellStyle name="Normal 175 4" xfId="2749"/>
    <cellStyle name="Normal 175 5" xfId="2750"/>
    <cellStyle name="Normal 175 6" xfId="2751"/>
    <cellStyle name="Normal 175 7" xfId="2752"/>
    <cellStyle name="Normal 175 8" xfId="2753"/>
    <cellStyle name="Normal 175 9" xfId="2754"/>
    <cellStyle name="Normal 176" xfId="2755"/>
    <cellStyle name="Normal 176 10" xfId="2756"/>
    <cellStyle name="Normal 176 11" xfId="2757"/>
    <cellStyle name="Normal 176 2" xfId="2758"/>
    <cellStyle name="Normal 176 3" xfId="2759"/>
    <cellStyle name="Normal 176 4" xfId="2760"/>
    <cellStyle name="Normal 176 5" xfId="2761"/>
    <cellStyle name="Normal 176 6" xfId="2762"/>
    <cellStyle name="Normal 176 7" xfId="2763"/>
    <cellStyle name="Normal 176 8" xfId="2764"/>
    <cellStyle name="Normal 176 9" xfId="2765"/>
    <cellStyle name="Normal 177" xfId="2766"/>
    <cellStyle name="Normal 177 10" xfId="2767"/>
    <cellStyle name="Normal 177 11" xfId="2768"/>
    <cellStyle name="Normal 177 2" xfId="2769"/>
    <cellStyle name="Normal 177 3" xfId="2770"/>
    <cellStyle name="Normal 177 4" xfId="2771"/>
    <cellStyle name="Normal 177 5" xfId="2772"/>
    <cellStyle name="Normal 177 6" xfId="2773"/>
    <cellStyle name="Normal 177 7" xfId="2774"/>
    <cellStyle name="Normal 177 8" xfId="2775"/>
    <cellStyle name="Normal 177 9" xfId="2776"/>
    <cellStyle name="Normal 178" xfId="2777"/>
    <cellStyle name="Normal 178 10" xfId="2778"/>
    <cellStyle name="Normal 178 11" xfId="2779"/>
    <cellStyle name="Normal 178 2" xfId="2780"/>
    <cellStyle name="Normal 178 3" xfId="2781"/>
    <cellStyle name="Normal 178 4" xfId="2782"/>
    <cellStyle name="Normal 178 5" xfId="2783"/>
    <cellStyle name="Normal 178 6" xfId="2784"/>
    <cellStyle name="Normal 178 7" xfId="2785"/>
    <cellStyle name="Normal 178 8" xfId="2786"/>
    <cellStyle name="Normal 178 9" xfId="2787"/>
    <cellStyle name="Normal 179" xfId="2788"/>
    <cellStyle name="Normal 179 2" xfId="2789"/>
    <cellStyle name="Normal 179 3" xfId="2790"/>
    <cellStyle name="Normal 179 4" xfId="2791"/>
    <cellStyle name="Normal 179 5" xfId="2792"/>
    <cellStyle name="Normal 179 6" xfId="2793"/>
    <cellStyle name="Normal 18" xfId="466"/>
    <cellStyle name="Normal 18 10" xfId="2794"/>
    <cellStyle name="Normal 18 11" xfId="2795"/>
    <cellStyle name="Normal 18 2" xfId="2796"/>
    <cellStyle name="Normal 18 3" xfId="2797"/>
    <cellStyle name="Normal 18 4" xfId="2798"/>
    <cellStyle name="Normal 18 5" xfId="2799"/>
    <cellStyle name="Normal 18 6" xfId="2800"/>
    <cellStyle name="Normal 18 7" xfId="2801"/>
    <cellStyle name="Normal 18 8" xfId="2802"/>
    <cellStyle name="Normal 18 9" xfId="2803"/>
    <cellStyle name="Normal 180" xfId="2804"/>
    <cellStyle name="Normal 183" xfId="2805"/>
    <cellStyle name="Normal 185" xfId="2806"/>
    <cellStyle name="Normal 19" xfId="467"/>
    <cellStyle name="Normal 19 10" xfId="2807"/>
    <cellStyle name="Normal 19 11" xfId="2808"/>
    <cellStyle name="Normal 19 2" xfId="2809"/>
    <cellStyle name="Normal 19 3" xfId="2810"/>
    <cellStyle name="Normal 19 4" xfId="2811"/>
    <cellStyle name="Normal 19 5" xfId="2812"/>
    <cellStyle name="Normal 19 6" xfId="2813"/>
    <cellStyle name="Normal 19 7" xfId="2814"/>
    <cellStyle name="Normal 19 8" xfId="2815"/>
    <cellStyle name="Normal 19 9" xfId="2816"/>
    <cellStyle name="Normal 2" xfId="468"/>
    <cellStyle name="Normal 2 10" xfId="469"/>
    <cellStyle name="Normal 2 100" xfId="470"/>
    <cellStyle name="Normal 2 101" xfId="471"/>
    <cellStyle name="Normal 2 102" xfId="472"/>
    <cellStyle name="Normal 2 103" xfId="473"/>
    <cellStyle name="Normal 2 104" xfId="474"/>
    <cellStyle name="Normal 2 105" xfId="475"/>
    <cellStyle name="Normal 2 106" xfId="476"/>
    <cellStyle name="Normal 2 107" xfId="477"/>
    <cellStyle name="Normal 2 108" xfId="478"/>
    <cellStyle name="Normal 2 109" xfId="479"/>
    <cellStyle name="Normal 2 11" xfId="480"/>
    <cellStyle name="Normal 2 110" xfId="481"/>
    <cellStyle name="Normal 2 111" xfId="827"/>
    <cellStyle name="Normal 2 112" xfId="3652"/>
    <cellStyle name="Normal 2 12" xfId="482"/>
    <cellStyle name="Normal 2 13" xfId="483"/>
    <cellStyle name="Normal 2 14" xfId="484"/>
    <cellStyle name="Normal 2 15" xfId="485"/>
    <cellStyle name="Normal 2 16" xfId="486"/>
    <cellStyle name="Normal 2 17" xfId="487"/>
    <cellStyle name="Normal 2 18" xfId="488"/>
    <cellStyle name="Normal 2 19" xfId="489"/>
    <cellStyle name="Normal 2 2" xfId="490"/>
    <cellStyle name="Normal 2 2 2" xfId="3654"/>
    <cellStyle name="Normal 2 20" xfId="491"/>
    <cellStyle name="Normal 2 21" xfId="492"/>
    <cellStyle name="Normal 2 22" xfId="493"/>
    <cellStyle name="Normal 2 23" xfId="494"/>
    <cellStyle name="Normal 2 24" xfId="495"/>
    <cellStyle name="Normal 2 25" xfId="496"/>
    <cellStyle name="Normal 2 26" xfId="497"/>
    <cellStyle name="Normal 2 27" xfId="498"/>
    <cellStyle name="Normal 2 28" xfId="499"/>
    <cellStyle name="Normal 2 29" xfId="500"/>
    <cellStyle name="Normal 2 3" xfId="501"/>
    <cellStyle name="Normal 2 3 2" xfId="3820"/>
    <cellStyle name="Normal 2 30" xfId="502"/>
    <cellStyle name="Normal 2 31" xfId="503"/>
    <cellStyle name="Normal 2 32" xfId="504"/>
    <cellStyle name="Normal 2 33" xfId="505"/>
    <cellStyle name="Normal 2 34" xfId="506"/>
    <cellStyle name="Normal 2 35" xfId="507"/>
    <cellStyle name="Normal 2 36" xfId="508"/>
    <cellStyle name="Normal 2 37" xfId="509"/>
    <cellStyle name="Normal 2 38" xfId="510"/>
    <cellStyle name="Normal 2 39" xfId="511"/>
    <cellStyle name="Normal 2 4" xfId="512"/>
    <cellStyle name="Normal 2 40" xfId="513"/>
    <cellStyle name="Normal 2 41" xfId="514"/>
    <cellStyle name="Normal 2 42" xfId="515"/>
    <cellStyle name="Normal 2 43" xfId="516"/>
    <cellStyle name="Normal 2 44" xfId="517"/>
    <cellStyle name="Normal 2 45" xfId="518"/>
    <cellStyle name="Normal 2 46" xfId="519"/>
    <cellStyle name="Normal 2 47" xfId="520"/>
    <cellStyle name="Normal 2 48" xfId="521"/>
    <cellStyle name="Normal 2 49" xfId="522"/>
    <cellStyle name="Normal 2 5" xfId="523"/>
    <cellStyle name="Normal 2 50" xfId="524"/>
    <cellStyle name="Normal 2 51" xfId="525"/>
    <cellStyle name="Normal 2 52" xfId="526"/>
    <cellStyle name="Normal 2 53" xfId="527"/>
    <cellStyle name="Normal 2 54" xfId="528"/>
    <cellStyle name="Normal 2 55" xfId="529"/>
    <cellStyle name="Normal 2 56" xfId="530"/>
    <cellStyle name="Normal 2 57" xfId="531"/>
    <cellStyle name="Normal 2 58" xfId="532"/>
    <cellStyle name="Normal 2 59" xfId="533"/>
    <cellStyle name="Normal 2 6" xfId="534"/>
    <cellStyle name="Normal 2 60" xfId="535"/>
    <cellStyle name="Normal 2 61" xfId="536"/>
    <cellStyle name="Normal 2 62" xfId="537"/>
    <cellStyle name="Normal 2 63" xfId="538"/>
    <cellStyle name="Normal 2 64" xfId="539"/>
    <cellStyle name="Normal 2 65" xfId="540"/>
    <cellStyle name="Normal 2 66" xfId="541"/>
    <cellStyle name="Normal 2 67" xfId="542"/>
    <cellStyle name="Normal 2 68" xfId="543"/>
    <cellStyle name="Normal 2 69" xfId="544"/>
    <cellStyle name="Normal 2 7" xfId="545"/>
    <cellStyle name="Normal 2 70" xfId="546"/>
    <cellStyle name="Normal 2 71" xfId="547"/>
    <cellStyle name="Normal 2 72" xfId="548"/>
    <cellStyle name="Normal 2 73" xfId="549"/>
    <cellStyle name="Normal 2 74" xfId="550"/>
    <cellStyle name="Normal 2 75" xfId="551"/>
    <cellStyle name="Normal 2 76" xfId="552"/>
    <cellStyle name="Normal 2 77" xfId="553"/>
    <cellStyle name="Normal 2 78" xfId="554"/>
    <cellStyle name="Normal 2 79" xfId="555"/>
    <cellStyle name="Normal 2 8" xfId="556"/>
    <cellStyle name="Normal 2 80" xfId="557"/>
    <cellStyle name="Normal 2 81" xfId="558"/>
    <cellStyle name="Normal 2 82" xfId="559"/>
    <cellStyle name="Normal 2 83" xfId="560"/>
    <cellStyle name="Normal 2 84" xfId="561"/>
    <cellStyle name="Normal 2 85" xfId="562"/>
    <cellStyle name="Normal 2 86" xfId="563"/>
    <cellStyle name="Normal 2 87" xfId="564"/>
    <cellStyle name="Normal 2 88" xfId="565"/>
    <cellStyle name="Normal 2 89" xfId="566"/>
    <cellStyle name="Normal 2 9" xfId="567"/>
    <cellStyle name="Normal 2 90" xfId="568"/>
    <cellStyle name="Normal 2 91" xfId="569"/>
    <cellStyle name="Normal 2 92" xfId="570"/>
    <cellStyle name="Normal 2 93" xfId="571"/>
    <cellStyle name="Normal 2 94" xfId="572"/>
    <cellStyle name="Normal 2 95" xfId="573"/>
    <cellStyle name="Normal 2 96" xfId="574"/>
    <cellStyle name="Normal 2 97" xfId="575"/>
    <cellStyle name="Normal 2 98" xfId="576"/>
    <cellStyle name="Normal 2 99" xfId="577"/>
    <cellStyle name="Normal 20" xfId="578"/>
    <cellStyle name="Normal 20 10" xfId="2817"/>
    <cellStyle name="Normal 20 11" xfId="2818"/>
    <cellStyle name="Normal 20 2" xfId="2819"/>
    <cellStyle name="Normal 20 3" xfId="2820"/>
    <cellStyle name="Normal 20 4" xfId="2821"/>
    <cellStyle name="Normal 20 5" xfId="2822"/>
    <cellStyle name="Normal 20 6" xfId="2823"/>
    <cellStyle name="Normal 20 7" xfId="2824"/>
    <cellStyle name="Normal 20 8" xfId="2825"/>
    <cellStyle name="Normal 20 9" xfId="2826"/>
    <cellStyle name="Normal 21" xfId="579"/>
    <cellStyle name="Normal 21 10" xfId="2827"/>
    <cellStyle name="Normal 21 11" xfId="2828"/>
    <cellStyle name="Normal 21 2" xfId="2829"/>
    <cellStyle name="Normal 21 3" xfId="2830"/>
    <cellStyle name="Normal 21 4" xfId="2831"/>
    <cellStyle name="Normal 21 5" xfId="2832"/>
    <cellStyle name="Normal 21 6" xfId="2833"/>
    <cellStyle name="Normal 21 7" xfId="2834"/>
    <cellStyle name="Normal 21 8" xfId="2835"/>
    <cellStyle name="Normal 21 9" xfId="2836"/>
    <cellStyle name="Normal 22" xfId="580"/>
    <cellStyle name="Normal 22 10" xfId="2837"/>
    <cellStyle name="Normal 22 11" xfId="2838"/>
    <cellStyle name="Normal 22 2" xfId="2839"/>
    <cellStyle name="Normal 22 3" xfId="2840"/>
    <cellStyle name="Normal 22 4" xfId="2841"/>
    <cellStyle name="Normal 22 5" xfId="2842"/>
    <cellStyle name="Normal 22 6" xfId="2843"/>
    <cellStyle name="Normal 22 7" xfId="2844"/>
    <cellStyle name="Normal 22 8" xfId="2845"/>
    <cellStyle name="Normal 22 9" xfId="2846"/>
    <cellStyle name="Normal 23" xfId="581"/>
    <cellStyle name="Normal 23 10" xfId="2847"/>
    <cellStyle name="Normal 23 11" xfId="2848"/>
    <cellStyle name="Normal 23 2" xfId="2849"/>
    <cellStyle name="Normal 23 3" xfId="2850"/>
    <cellStyle name="Normal 23 4" xfId="2851"/>
    <cellStyle name="Normal 23 5" xfId="2852"/>
    <cellStyle name="Normal 23 6" xfId="2853"/>
    <cellStyle name="Normal 23 7" xfId="2854"/>
    <cellStyle name="Normal 23 8" xfId="2855"/>
    <cellStyle name="Normal 23 9" xfId="2856"/>
    <cellStyle name="Normal 24" xfId="582"/>
    <cellStyle name="Normal 24 10" xfId="2857"/>
    <cellStyle name="Normal 24 11" xfId="2858"/>
    <cellStyle name="Normal 24 2" xfId="2859"/>
    <cellStyle name="Normal 24 3" xfId="2860"/>
    <cellStyle name="Normal 24 4" xfId="2861"/>
    <cellStyle name="Normal 24 5" xfId="2862"/>
    <cellStyle name="Normal 24 6" xfId="2863"/>
    <cellStyle name="Normal 24 7" xfId="2864"/>
    <cellStyle name="Normal 24 8" xfId="2865"/>
    <cellStyle name="Normal 24 9" xfId="2866"/>
    <cellStyle name="Normal 25" xfId="583"/>
    <cellStyle name="Normal 25 10" xfId="2867"/>
    <cellStyle name="Normal 25 11" xfId="2868"/>
    <cellStyle name="Normal 25 2" xfId="2869"/>
    <cellStyle name="Normal 25 3" xfId="2870"/>
    <cellStyle name="Normal 25 4" xfId="2871"/>
    <cellStyle name="Normal 25 5" xfId="2872"/>
    <cellStyle name="Normal 25 6" xfId="2873"/>
    <cellStyle name="Normal 25 7" xfId="2874"/>
    <cellStyle name="Normal 25 8" xfId="2875"/>
    <cellStyle name="Normal 25 9" xfId="2876"/>
    <cellStyle name="Normal 26" xfId="584"/>
    <cellStyle name="Normal 26 10" xfId="2877"/>
    <cellStyle name="Normal 26 11" xfId="2878"/>
    <cellStyle name="Normal 26 2" xfId="2879"/>
    <cellStyle name="Normal 26 3" xfId="2880"/>
    <cellStyle name="Normal 26 4" xfId="2881"/>
    <cellStyle name="Normal 26 5" xfId="2882"/>
    <cellStyle name="Normal 26 6" xfId="2883"/>
    <cellStyle name="Normal 26 7" xfId="2884"/>
    <cellStyle name="Normal 26 8" xfId="2885"/>
    <cellStyle name="Normal 26 9" xfId="2886"/>
    <cellStyle name="Normal 27" xfId="585"/>
    <cellStyle name="Normal 27 10" xfId="2887"/>
    <cellStyle name="Normal 27 11" xfId="2888"/>
    <cellStyle name="Normal 27 2" xfId="2889"/>
    <cellStyle name="Normal 27 3" xfId="2890"/>
    <cellStyle name="Normal 27 4" xfId="2891"/>
    <cellStyle name="Normal 27 5" xfId="2892"/>
    <cellStyle name="Normal 27 6" xfId="2893"/>
    <cellStyle name="Normal 27 7" xfId="2894"/>
    <cellStyle name="Normal 27 8" xfId="2895"/>
    <cellStyle name="Normal 27 9" xfId="2896"/>
    <cellStyle name="Normal 28" xfId="586"/>
    <cellStyle name="Normal 28 10" xfId="2897"/>
    <cellStyle name="Normal 28 11" xfId="2898"/>
    <cellStyle name="Normal 28 2" xfId="2899"/>
    <cellStyle name="Normal 28 3" xfId="2900"/>
    <cellStyle name="Normal 28 4" xfId="2901"/>
    <cellStyle name="Normal 28 5" xfId="2902"/>
    <cellStyle name="Normal 28 6" xfId="2903"/>
    <cellStyle name="Normal 28 7" xfId="2904"/>
    <cellStyle name="Normal 28 8" xfId="2905"/>
    <cellStyle name="Normal 28 9" xfId="2906"/>
    <cellStyle name="Normal 29" xfId="587"/>
    <cellStyle name="Normal 29 10" xfId="2907"/>
    <cellStyle name="Normal 29 11" xfId="2908"/>
    <cellStyle name="Normal 29 2" xfId="2909"/>
    <cellStyle name="Normal 29 3" xfId="2910"/>
    <cellStyle name="Normal 29 4" xfId="2911"/>
    <cellStyle name="Normal 29 5" xfId="2912"/>
    <cellStyle name="Normal 29 6" xfId="2913"/>
    <cellStyle name="Normal 29 7" xfId="2914"/>
    <cellStyle name="Normal 29 8" xfId="2915"/>
    <cellStyle name="Normal 29 9" xfId="2916"/>
    <cellStyle name="Normal 3" xfId="826"/>
    <cellStyle name="Normal 3 10" xfId="2917"/>
    <cellStyle name="Normal 3 11" xfId="2918"/>
    <cellStyle name="Normal 3 12" xfId="2919"/>
    <cellStyle name="Normal 3 13" xfId="2920"/>
    <cellStyle name="Normal 3 14" xfId="2921"/>
    <cellStyle name="Normal 3 15" xfId="2922"/>
    <cellStyle name="Normal 3 16" xfId="2923"/>
    <cellStyle name="Normal 3 2" xfId="828"/>
    <cellStyle name="Normal 3 3" xfId="2924"/>
    <cellStyle name="Normal 3 4" xfId="2925"/>
    <cellStyle name="Normal 3 5" xfId="2926"/>
    <cellStyle name="Normal 3 6" xfId="2927"/>
    <cellStyle name="Normal 3 7" xfId="2928"/>
    <cellStyle name="Normal 3 8" xfId="2929"/>
    <cellStyle name="Normal 3 9" xfId="2930"/>
    <cellStyle name="Normal 30" xfId="588"/>
    <cellStyle name="Normal 30 10" xfId="2931"/>
    <cellStyle name="Normal 30 11" xfId="2932"/>
    <cellStyle name="Normal 30 2" xfId="2933"/>
    <cellStyle name="Normal 30 3" xfId="2934"/>
    <cellStyle name="Normal 30 4" xfId="2935"/>
    <cellStyle name="Normal 30 5" xfId="2936"/>
    <cellStyle name="Normal 30 6" xfId="2937"/>
    <cellStyle name="Normal 30 7" xfId="2938"/>
    <cellStyle name="Normal 30 8" xfId="2939"/>
    <cellStyle name="Normal 30 9" xfId="2940"/>
    <cellStyle name="Normal 31" xfId="589"/>
    <cellStyle name="Normal 31 10" xfId="2941"/>
    <cellStyle name="Normal 31 11" xfId="2942"/>
    <cellStyle name="Normal 31 2" xfId="2943"/>
    <cellStyle name="Normal 31 3" xfId="2944"/>
    <cellStyle name="Normal 31 4" xfId="2945"/>
    <cellStyle name="Normal 31 5" xfId="2946"/>
    <cellStyle name="Normal 31 6" xfId="2947"/>
    <cellStyle name="Normal 31 7" xfId="2948"/>
    <cellStyle name="Normal 31 8" xfId="2949"/>
    <cellStyle name="Normal 31 9" xfId="2950"/>
    <cellStyle name="Normal 32" xfId="590"/>
    <cellStyle name="Normal 32 10" xfId="2951"/>
    <cellStyle name="Normal 32 11" xfId="2952"/>
    <cellStyle name="Normal 32 2" xfId="2953"/>
    <cellStyle name="Normal 32 3" xfId="2954"/>
    <cellStyle name="Normal 32 4" xfId="2955"/>
    <cellStyle name="Normal 32 5" xfId="2956"/>
    <cellStyle name="Normal 32 6" xfId="2957"/>
    <cellStyle name="Normal 32 7" xfId="2958"/>
    <cellStyle name="Normal 32 8" xfId="2959"/>
    <cellStyle name="Normal 32 9" xfId="2960"/>
    <cellStyle name="Normal 33" xfId="591"/>
    <cellStyle name="Normal 33 10" xfId="2961"/>
    <cellStyle name="Normal 33 11" xfId="2962"/>
    <cellStyle name="Normal 33 2" xfId="2963"/>
    <cellStyle name="Normal 33 3" xfId="2964"/>
    <cellStyle name="Normal 33 4" xfId="2965"/>
    <cellStyle name="Normal 33 5" xfId="2966"/>
    <cellStyle name="Normal 33 6" xfId="2967"/>
    <cellStyle name="Normal 33 7" xfId="2968"/>
    <cellStyle name="Normal 33 8" xfId="2969"/>
    <cellStyle name="Normal 33 9" xfId="2970"/>
    <cellStyle name="Normal 34" xfId="592"/>
    <cellStyle name="Normal 34 10" xfId="2971"/>
    <cellStyle name="Normal 34 11" xfId="2972"/>
    <cellStyle name="Normal 34 2" xfId="2973"/>
    <cellStyle name="Normal 34 3" xfId="2974"/>
    <cellStyle name="Normal 34 4" xfId="2975"/>
    <cellStyle name="Normal 34 5" xfId="2976"/>
    <cellStyle name="Normal 34 6" xfId="2977"/>
    <cellStyle name="Normal 34 7" xfId="2978"/>
    <cellStyle name="Normal 34 8" xfId="2979"/>
    <cellStyle name="Normal 34 9" xfId="2980"/>
    <cellStyle name="Normal 35" xfId="593"/>
    <cellStyle name="Normal 35 10" xfId="2981"/>
    <cellStyle name="Normal 35 11" xfId="2982"/>
    <cellStyle name="Normal 35 2" xfId="2983"/>
    <cellStyle name="Normal 35 3" xfId="2984"/>
    <cellStyle name="Normal 35 4" xfId="2985"/>
    <cellStyle name="Normal 35 5" xfId="2986"/>
    <cellStyle name="Normal 35 6" xfId="2987"/>
    <cellStyle name="Normal 35 7" xfId="2988"/>
    <cellStyle name="Normal 35 8" xfId="2989"/>
    <cellStyle name="Normal 35 9" xfId="2990"/>
    <cellStyle name="Normal 36" xfId="594"/>
    <cellStyle name="Normal 36 10" xfId="2991"/>
    <cellStyle name="Normal 36 11" xfId="2992"/>
    <cellStyle name="Normal 36 2" xfId="2993"/>
    <cellStyle name="Normal 36 3" xfId="2994"/>
    <cellStyle name="Normal 36 4" xfId="2995"/>
    <cellStyle name="Normal 36 5" xfId="2996"/>
    <cellStyle name="Normal 36 6" xfId="2997"/>
    <cellStyle name="Normal 36 7" xfId="2998"/>
    <cellStyle name="Normal 36 8" xfId="2999"/>
    <cellStyle name="Normal 36 9" xfId="3000"/>
    <cellStyle name="Normal 37" xfId="595"/>
    <cellStyle name="Normal 37 10" xfId="3001"/>
    <cellStyle name="Normal 37 11" xfId="3002"/>
    <cellStyle name="Normal 37 2" xfId="3003"/>
    <cellStyle name="Normal 37 3" xfId="3004"/>
    <cellStyle name="Normal 37 4" xfId="3005"/>
    <cellStyle name="Normal 37 5" xfId="3006"/>
    <cellStyle name="Normal 37 6" xfId="3007"/>
    <cellStyle name="Normal 37 7" xfId="3008"/>
    <cellStyle name="Normal 37 8" xfId="3009"/>
    <cellStyle name="Normal 37 9" xfId="3010"/>
    <cellStyle name="Normal 38" xfId="596"/>
    <cellStyle name="Normal 38 10" xfId="3011"/>
    <cellStyle name="Normal 38 11" xfId="3012"/>
    <cellStyle name="Normal 38 2" xfId="3013"/>
    <cellStyle name="Normal 38 3" xfId="3014"/>
    <cellStyle name="Normal 38 4" xfId="3015"/>
    <cellStyle name="Normal 38 5" xfId="3016"/>
    <cellStyle name="Normal 38 6" xfId="3017"/>
    <cellStyle name="Normal 38 7" xfId="3018"/>
    <cellStyle name="Normal 38 8" xfId="3019"/>
    <cellStyle name="Normal 38 9" xfId="3020"/>
    <cellStyle name="Normal 39" xfId="597"/>
    <cellStyle name="Normal 39 10" xfId="3021"/>
    <cellStyle name="Normal 39 11" xfId="3022"/>
    <cellStyle name="Normal 39 2" xfId="3023"/>
    <cellStyle name="Normal 39 3" xfId="3024"/>
    <cellStyle name="Normal 39 4" xfId="3025"/>
    <cellStyle name="Normal 39 5" xfId="3026"/>
    <cellStyle name="Normal 39 6" xfId="3027"/>
    <cellStyle name="Normal 39 7" xfId="3028"/>
    <cellStyle name="Normal 39 8" xfId="3029"/>
    <cellStyle name="Normal 39 9" xfId="3030"/>
    <cellStyle name="Normal 4" xfId="3031"/>
    <cellStyle name="Normal 4 10" xfId="598"/>
    <cellStyle name="Normal 4 100" xfId="599"/>
    <cellStyle name="Normal 4 101" xfId="600"/>
    <cellStyle name="Normal 4 102" xfId="601"/>
    <cellStyle name="Normal 4 103" xfId="602"/>
    <cellStyle name="Normal 4 104" xfId="603"/>
    <cellStyle name="Normal 4 105" xfId="604"/>
    <cellStyle name="Normal 4 106" xfId="605"/>
    <cellStyle name="Normal 4 107" xfId="606"/>
    <cellStyle name="Normal 4 108" xfId="607"/>
    <cellStyle name="Normal 4 109" xfId="608"/>
    <cellStyle name="Normal 4 11" xfId="609"/>
    <cellStyle name="Normal 4 110" xfId="3655"/>
    <cellStyle name="Normal 4 12" xfId="610"/>
    <cellStyle name="Normal 4 13" xfId="611"/>
    <cellStyle name="Normal 4 14" xfId="612"/>
    <cellStyle name="Normal 4 15" xfId="613"/>
    <cellStyle name="Normal 4 16" xfId="614"/>
    <cellStyle name="Normal 4 17" xfId="615"/>
    <cellStyle name="Normal 4 18" xfId="616"/>
    <cellStyle name="Normal 4 19" xfId="617"/>
    <cellStyle name="Normal 4 2" xfId="618"/>
    <cellStyle name="Normal 4 2 2" xfId="3821"/>
    <cellStyle name="Normal 4 20" xfId="619"/>
    <cellStyle name="Normal 4 21" xfId="620"/>
    <cellStyle name="Normal 4 22" xfId="621"/>
    <cellStyle name="Normal 4 23" xfId="622"/>
    <cellStyle name="Normal 4 24" xfId="623"/>
    <cellStyle name="Normal 4 25" xfId="624"/>
    <cellStyle name="Normal 4 26" xfId="625"/>
    <cellStyle name="Normal 4 27" xfId="626"/>
    <cellStyle name="Normal 4 28" xfId="627"/>
    <cellStyle name="Normal 4 29" xfId="628"/>
    <cellStyle name="Normal 4 3" xfId="629"/>
    <cellStyle name="Normal 4 3 2" xfId="3822"/>
    <cellStyle name="Normal 4 30" xfId="630"/>
    <cellStyle name="Normal 4 31" xfId="631"/>
    <cellStyle name="Normal 4 32" xfId="632"/>
    <cellStyle name="Normal 4 33" xfId="633"/>
    <cellStyle name="Normal 4 34" xfId="634"/>
    <cellStyle name="Normal 4 35" xfId="635"/>
    <cellStyle name="Normal 4 36" xfId="636"/>
    <cellStyle name="Normal 4 37" xfId="637"/>
    <cellStyle name="Normal 4 38" xfId="638"/>
    <cellStyle name="Normal 4 39" xfId="639"/>
    <cellStyle name="Normal 4 4" xfId="640"/>
    <cellStyle name="Normal 4 40" xfId="641"/>
    <cellStyle name="Normal 4 41" xfId="642"/>
    <cellStyle name="Normal 4 42" xfId="643"/>
    <cellStyle name="Normal 4 43" xfId="644"/>
    <cellStyle name="Normal 4 44" xfId="645"/>
    <cellStyle name="Normal 4 45" xfId="646"/>
    <cellStyle name="Normal 4 46" xfId="647"/>
    <cellStyle name="Normal 4 47" xfId="648"/>
    <cellStyle name="Normal 4 48" xfId="649"/>
    <cellStyle name="Normal 4 49" xfId="650"/>
    <cellStyle name="Normal 4 5" xfId="651"/>
    <cellStyle name="Normal 4 50" xfId="652"/>
    <cellStyle name="Normal 4 51" xfId="653"/>
    <cellStyle name="Normal 4 52" xfId="654"/>
    <cellStyle name="Normal 4 53" xfId="655"/>
    <cellStyle name="Normal 4 54" xfId="656"/>
    <cellStyle name="Normal 4 55" xfId="657"/>
    <cellStyle name="Normal 4 56" xfId="658"/>
    <cellStyle name="Normal 4 57" xfId="659"/>
    <cellStyle name="Normal 4 58" xfId="660"/>
    <cellStyle name="Normal 4 59" xfId="661"/>
    <cellStyle name="Normal 4 6" xfId="662"/>
    <cellStyle name="Normal 4 60" xfId="663"/>
    <cellStyle name="Normal 4 61" xfId="664"/>
    <cellStyle name="Normal 4 62" xfId="665"/>
    <cellStyle name="Normal 4 63" xfId="666"/>
    <cellStyle name="Normal 4 64" xfId="667"/>
    <cellStyle name="Normal 4 65" xfId="668"/>
    <cellStyle name="Normal 4 66" xfId="669"/>
    <cellStyle name="Normal 4 67" xfId="670"/>
    <cellStyle name="Normal 4 68" xfId="671"/>
    <cellStyle name="Normal 4 69" xfId="672"/>
    <cellStyle name="Normal 4 7" xfId="673"/>
    <cellStyle name="Normal 4 70" xfId="674"/>
    <cellStyle name="Normal 4 71" xfId="675"/>
    <cellStyle name="Normal 4 72" xfId="676"/>
    <cellStyle name="Normal 4 73" xfId="677"/>
    <cellStyle name="Normal 4 74" xfId="678"/>
    <cellStyle name="Normal 4 75" xfId="679"/>
    <cellStyle name="Normal 4 76" xfId="680"/>
    <cellStyle name="Normal 4 77" xfId="681"/>
    <cellStyle name="Normal 4 78" xfId="682"/>
    <cellStyle name="Normal 4 79" xfId="683"/>
    <cellStyle name="Normal 4 8" xfId="684"/>
    <cellStyle name="Normal 4 80" xfId="685"/>
    <cellStyle name="Normal 4 81" xfId="686"/>
    <cellStyle name="Normal 4 82" xfId="687"/>
    <cellStyle name="Normal 4 83" xfId="688"/>
    <cellStyle name="Normal 4 84" xfId="689"/>
    <cellStyle name="Normal 4 85" xfId="690"/>
    <cellStyle name="Normal 4 86" xfId="691"/>
    <cellStyle name="Normal 4 87" xfId="692"/>
    <cellStyle name="Normal 4 88" xfId="693"/>
    <cellStyle name="Normal 4 89" xfId="694"/>
    <cellStyle name="Normal 4 9" xfId="695"/>
    <cellStyle name="Normal 4 90" xfId="696"/>
    <cellStyle name="Normal 4 91" xfId="697"/>
    <cellStyle name="Normal 4 92" xfId="698"/>
    <cellStyle name="Normal 4 93" xfId="699"/>
    <cellStyle name="Normal 4 94" xfId="700"/>
    <cellStyle name="Normal 4 95" xfId="701"/>
    <cellStyle name="Normal 4 96" xfId="702"/>
    <cellStyle name="Normal 4 97" xfId="703"/>
    <cellStyle name="Normal 4 98" xfId="704"/>
    <cellStyle name="Normal 4 99" xfId="705"/>
    <cellStyle name="Normal 40" xfId="706"/>
    <cellStyle name="Normal 40 10" xfId="3032"/>
    <cellStyle name="Normal 40 11" xfId="3033"/>
    <cellStyle name="Normal 40 2" xfId="3034"/>
    <cellStyle name="Normal 40 3" xfId="3035"/>
    <cellStyle name="Normal 40 4" xfId="3036"/>
    <cellStyle name="Normal 40 5" xfId="3037"/>
    <cellStyle name="Normal 40 6" xfId="3038"/>
    <cellStyle name="Normal 40 7" xfId="3039"/>
    <cellStyle name="Normal 40 8" xfId="3040"/>
    <cellStyle name="Normal 40 9" xfId="3041"/>
    <cellStyle name="Normal 41" xfId="707"/>
    <cellStyle name="Normal 41 10" xfId="3042"/>
    <cellStyle name="Normal 41 11" xfId="3043"/>
    <cellStyle name="Normal 41 2" xfId="3044"/>
    <cellStyle name="Normal 41 3" xfId="3045"/>
    <cellStyle name="Normal 41 4" xfId="3046"/>
    <cellStyle name="Normal 41 5" xfId="3047"/>
    <cellStyle name="Normal 41 6" xfId="3048"/>
    <cellStyle name="Normal 41 7" xfId="3049"/>
    <cellStyle name="Normal 41 8" xfId="3050"/>
    <cellStyle name="Normal 41 9" xfId="3051"/>
    <cellStyle name="Normal 42" xfId="708"/>
    <cellStyle name="Normal 42 10" xfId="3052"/>
    <cellStyle name="Normal 42 11" xfId="3053"/>
    <cellStyle name="Normal 42 2" xfId="3054"/>
    <cellStyle name="Normal 42 3" xfId="3055"/>
    <cellStyle name="Normal 42 4" xfId="3056"/>
    <cellStyle name="Normal 42 5" xfId="3057"/>
    <cellStyle name="Normal 42 6" xfId="3058"/>
    <cellStyle name="Normal 42 7" xfId="3059"/>
    <cellStyle name="Normal 42 8" xfId="3060"/>
    <cellStyle name="Normal 42 9" xfId="3061"/>
    <cellStyle name="Normal 43" xfId="709"/>
    <cellStyle name="Normal 43 10" xfId="3062"/>
    <cellStyle name="Normal 43 11" xfId="3063"/>
    <cellStyle name="Normal 43 2" xfId="3064"/>
    <cellStyle name="Normal 43 3" xfId="3065"/>
    <cellStyle name="Normal 43 4" xfId="3066"/>
    <cellStyle name="Normal 43 5" xfId="3067"/>
    <cellStyle name="Normal 43 6" xfId="3068"/>
    <cellStyle name="Normal 43 7" xfId="3069"/>
    <cellStyle name="Normal 43 8" xfId="3070"/>
    <cellStyle name="Normal 43 9" xfId="3071"/>
    <cellStyle name="Normal 44" xfId="710"/>
    <cellStyle name="Normal 44 10" xfId="3072"/>
    <cellStyle name="Normal 44 11" xfId="3073"/>
    <cellStyle name="Normal 44 2" xfId="3074"/>
    <cellStyle name="Normal 44 3" xfId="3075"/>
    <cellStyle name="Normal 44 4" xfId="3076"/>
    <cellStyle name="Normal 44 5" xfId="3077"/>
    <cellStyle name="Normal 44 6" xfId="3078"/>
    <cellStyle name="Normal 44 7" xfId="3079"/>
    <cellStyle name="Normal 44 8" xfId="3080"/>
    <cellStyle name="Normal 44 9" xfId="3081"/>
    <cellStyle name="Normal 45" xfId="711"/>
    <cellStyle name="Normal 45 10" xfId="3082"/>
    <cellStyle name="Normal 45 11" xfId="3083"/>
    <cellStyle name="Normal 45 2" xfId="3084"/>
    <cellStyle name="Normal 45 3" xfId="3085"/>
    <cellStyle name="Normal 45 4" xfId="3086"/>
    <cellStyle name="Normal 45 5" xfId="3087"/>
    <cellStyle name="Normal 45 6" xfId="3088"/>
    <cellStyle name="Normal 45 7" xfId="3089"/>
    <cellStyle name="Normal 45 8" xfId="3090"/>
    <cellStyle name="Normal 45 9" xfId="3091"/>
    <cellStyle name="Normal 46" xfId="712"/>
    <cellStyle name="Normal 46 10" xfId="3092"/>
    <cellStyle name="Normal 46 11" xfId="3093"/>
    <cellStyle name="Normal 46 2" xfId="3094"/>
    <cellStyle name="Normal 46 3" xfId="3095"/>
    <cellStyle name="Normal 46 4" xfId="3096"/>
    <cellStyle name="Normal 46 5" xfId="3097"/>
    <cellStyle name="Normal 46 6" xfId="3098"/>
    <cellStyle name="Normal 46 7" xfId="3099"/>
    <cellStyle name="Normal 46 8" xfId="3100"/>
    <cellStyle name="Normal 46 9" xfId="3101"/>
    <cellStyle name="Normal 47" xfId="713"/>
    <cellStyle name="Normal 47 10" xfId="3102"/>
    <cellStyle name="Normal 47 11" xfId="3103"/>
    <cellStyle name="Normal 47 2" xfId="3104"/>
    <cellStyle name="Normal 47 3" xfId="3105"/>
    <cellStyle name="Normal 47 4" xfId="3106"/>
    <cellStyle name="Normal 47 5" xfId="3107"/>
    <cellStyle name="Normal 47 6" xfId="3108"/>
    <cellStyle name="Normal 47 7" xfId="3109"/>
    <cellStyle name="Normal 47 8" xfId="3110"/>
    <cellStyle name="Normal 47 9" xfId="3111"/>
    <cellStyle name="Normal 48" xfId="714"/>
    <cellStyle name="Normal 48 10" xfId="3112"/>
    <cellStyle name="Normal 48 11" xfId="3113"/>
    <cellStyle name="Normal 48 2" xfId="3114"/>
    <cellStyle name="Normal 48 3" xfId="3115"/>
    <cellStyle name="Normal 48 4" xfId="3116"/>
    <cellStyle name="Normal 48 5" xfId="3117"/>
    <cellStyle name="Normal 48 6" xfId="3118"/>
    <cellStyle name="Normal 48 7" xfId="3119"/>
    <cellStyle name="Normal 48 8" xfId="3120"/>
    <cellStyle name="Normal 48 9" xfId="3121"/>
    <cellStyle name="Normal 49" xfId="715"/>
    <cellStyle name="Normal 49 10" xfId="3122"/>
    <cellStyle name="Normal 49 11" xfId="3123"/>
    <cellStyle name="Normal 49 2" xfId="3124"/>
    <cellStyle name="Normal 49 3" xfId="3125"/>
    <cellStyle name="Normal 49 4" xfId="3126"/>
    <cellStyle name="Normal 49 5" xfId="3127"/>
    <cellStyle name="Normal 49 6" xfId="3128"/>
    <cellStyle name="Normal 49 7" xfId="3129"/>
    <cellStyle name="Normal 49 8" xfId="3130"/>
    <cellStyle name="Normal 49 9" xfId="3131"/>
    <cellStyle name="Normal 5" xfId="3132"/>
    <cellStyle name="Normal 5 2" xfId="716"/>
    <cellStyle name="Normal 5 2 2" xfId="3823"/>
    <cellStyle name="Normal 5 2 3" xfId="3824"/>
    <cellStyle name="Normal 5 3" xfId="717"/>
    <cellStyle name="Normal 5 3 2" xfId="3825"/>
    <cellStyle name="Normal 5 4" xfId="718"/>
    <cellStyle name="Normal 5 5" xfId="719"/>
    <cellStyle name="Normal 5 6" xfId="720"/>
    <cellStyle name="Normal 5 7" xfId="721"/>
    <cellStyle name="Normal 5 8" xfId="722"/>
    <cellStyle name="Normal 5 9" xfId="3653"/>
    <cellStyle name="Normal 50" xfId="723"/>
    <cellStyle name="Normal 50 10" xfId="3133"/>
    <cellStyle name="Normal 50 11" xfId="3134"/>
    <cellStyle name="Normal 50 2" xfId="724"/>
    <cellStyle name="Normal 50 2 2" xfId="3661"/>
    <cellStyle name="Normal 50 3" xfId="3135"/>
    <cellStyle name="Normal 50 4" xfId="3136"/>
    <cellStyle name="Normal 50 5" xfId="3137"/>
    <cellStyle name="Normal 50 6" xfId="3138"/>
    <cellStyle name="Normal 50 7" xfId="3139"/>
    <cellStyle name="Normal 50 8" xfId="3140"/>
    <cellStyle name="Normal 50 9" xfId="3141"/>
    <cellStyle name="Normal 51" xfId="725"/>
    <cellStyle name="Normal 51 10" xfId="3142"/>
    <cellStyle name="Normal 51 11" xfId="3143"/>
    <cellStyle name="Normal 51 2" xfId="3144"/>
    <cellStyle name="Normal 51 3" xfId="3145"/>
    <cellStyle name="Normal 51 4" xfId="3146"/>
    <cellStyle name="Normal 51 5" xfId="3147"/>
    <cellStyle name="Normal 51 6" xfId="3148"/>
    <cellStyle name="Normal 51 7" xfId="3149"/>
    <cellStyle name="Normal 51 8" xfId="3150"/>
    <cellStyle name="Normal 51 9" xfId="3151"/>
    <cellStyle name="Normal 52" xfId="726"/>
    <cellStyle name="Normal 52 10" xfId="3152"/>
    <cellStyle name="Normal 52 11" xfId="3153"/>
    <cellStyle name="Normal 52 2" xfId="3154"/>
    <cellStyle name="Normal 52 3" xfId="3155"/>
    <cellStyle name="Normal 52 4" xfId="3156"/>
    <cellStyle name="Normal 52 5" xfId="3157"/>
    <cellStyle name="Normal 52 6" xfId="3158"/>
    <cellStyle name="Normal 52 7" xfId="3159"/>
    <cellStyle name="Normal 52 8" xfId="3160"/>
    <cellStyle name="Normal 52 9" xfId="3161"/>
    <cellStyle name="Normal 53" xfId="727"/>
    <cellStyle name="Normal 53 10" xfId="3162"/>
    <cellStyle name="Normal 53 11" xfId="3163"/>
    <cellStyle name="Normal 53 2" xfId="3164"/>
    <cellStyle name="Normal 53 3" xfId="3165"/>
    <cellStyle name="Normal 53 4" xfId="3166"/>
    <cellStyle name="Normal 53 5" xfId="3167"/>
    <cellStyle name="Normal 53 6" xfId="3168"/>
    <cellStyle name="Normal 53 7" xfId="3169"/>
    <cellStyle name="Normal 53 8" xfId="3170"/>
    <cellStyle name="Normal 53 9" xfId="3171"/>
    <cellStyle name="Normal 54" xfId="728"/>
    <cellStyle name="Normal 54 10" xfId="3172"/>
    <cellStyle name="Normal 54 11" xfId="3173"/>
    <cellStyle name="Normal 54 2" xfId="3174"/>
    <cellStyle name="Normal 54 3" xfId="3175"/>
    <cellStyle name="Normal 54 4" xfId="3176"/>
    <cellStyle name="Normal 54 5" xfId="3177"/>
    <cellStyle name="Normal 54 6" xfId="3178"/>
    <cellStyle name="Normal 54 7" xfId="3179"/>
    <cellStyle name="Normal 54 8" xfId="3180"/>
    <cellStyle name="Normal 54 9" xfId="3181"/>
    <cellStyle name="Normal 55" xfId="729"/>
    <cellStyle name="Normal 55 10" xfId="3182"/>
    <cellStyle name="Normal 55 11" xfId="3183"/>
    <cellStyle name="Normal 55 2" xfId="3184"/>
    <cellStyle name="Normal 55 3" xfId="3185"/>
    <cellStyle name="Normal 55 4" xfId="3186"/>
    <cellStyle name="Normal 55 5" xfId="3187"/>
    <cellStyle name="Normal 55 6" xfId="3188"/>
    <cellStyle name="Normal 55 7" xfId="3189"/>
    <cellStyle name="Normal 55 8" xfId="3190"/>
    <cellStyle name="Normal 55 9" xfId="3191"/>
    <cellStyle name="Normal 56" xfId="730"/>
    <cellStyle name="Normal 56 10" xfId="3192"/>
    <cellStyle name="Normal 56 11" xfId="3193"/>
    <cellStyle name="Normal 56 2" xfId="3194"/>
    <cellStyle name="Normal 56 3" xfId="3195"/>
    <cellStyle name="Normal 56 4" xfId="3196"/>
    <cellStyle name="Normal 56 5" xfId="3197"/>
    <cellStyle name="Normal 56 6" xfId="3198"/>
    <cellStyle name="Normal 56 7" xfId="3199"/>
    <cellStyle name="Normal 56 8" xfId="3200"/>
    <cellStyle name="Normal 56 9" xfId="3201"/>
    <cellStyle name="Normal 57" xfId="731"/>
    <cellStyle name="Normal 57 10" xfId="3202"/>
    <cellStyle name="Normal 57 11" xfId="3203"/>
    <cellStyle name="Normal 57 2" xfId="3204"/>
    <cellStyle name="Normal 57 3" xfId="3205"/>
    <cellStyle name="Normal 57 4" xfId="3206"/>
    <cellStyle name="Normal 57 5" xfId="3207"/>
    <cellStyle name="Normal 57 6" xfId="3208"/>
    <cellStyle name="Normal 57 7" xfId="3209"/>
    <cellStyle name="Normal 57 8" xfId="3210"/>
    <cellStyle name="Normal 57 9" xfId="3211"/>
    <cellStyle name="Normal 58" xfId="732"/>
    <cellStyle name="Normal 58 10" xfId="3212"/>
    <cellStyle name="Normal 58 11" xfId="3213"/>
    <cellStyle name="Normal 58 2" xfId="3214"/>
    <cellStyle name="Normal 58 3" xfId="3215"/>
    <cellStyle name="Normal 58 4" xfId="3216"/>
    <cellStyle name="Normal 58 5" xfId="3217"/>
    <cellStyle name="Normal 58 6" xfId="3218"/>
    <cellStyle name="Normal 58 7" xfId="3219"/>
    <cellStyle name="Normal 58 8" xfId="3220"/>
    <cellStyle name="Normal 58 9" xfId="3221"/>
    <cellStyle name="Normal 59" xfId="733"/>
    <cellStyle name="Normal 59 10" xfId="3222"/>
    <cellStyle name="Normal 59 11" xfId="3223"/>
    <cellStyle name="Normal 59 2" xfId="3224"/>
    <cellStyle name="Normal 59 3" xfId="3225"/>
    <cellStyle name="Normal 59 4" xfId="3226"/>
    <cellStyle name="Normal 59 5" xfId="3227"/>
    <cellStyle name="Normal 59 6" xfId="3228"/>
    <cellStyle name="Normal 59 7" xfId="3229"/>
    <cellStyle name="Normal 59 8" xfId="3230"/>
    <cellStyle name="Normal 59 9" xfId="3231"/>
    <cellStyle name="Normal 6" xfId="734"/>
    <cellStyle name="Normal 6 10" xfId="3232"/>
    <cellStyle name="Normal 6 11" xfId="3233"/>
    <cellStyle name="Normal 6 12" xfId="3234"/>
    <cellStyle name="Normal 6 13" xfId="3235"/>
    <cellStyle name="Normal 6 14" xfId="3236"/>
    <cellStyle name="Normal 6 15" xfId="3237"/>
    <cellStyle name="Normal 6 16" xfId="3238"/>
    <cellStyle name="Normal 6 2" xfId="735"/>
    <cellStyle name="Normal 6 2 2" xfId="3826"/>
    <cellStyle name="Normal 6 3" xfId="736"/>
    <cellStyle name="Normal 6 3 2" xfId="3827"/>
    <cellStyle name="Normal 6 4" xfId="3239"/>
    <cellStyle name="Normal 6 5" xfId="3240"/>
    <cellStyle name="Normal 6 6" xfId="3241"/>
    <cellStyle name="Normal 6 7" xfId="3242"/>
    <cellStyle name="Normal 6 8" xfId="3243"/>
    <cellStyle name="Normal 6 9" xfId="3244"/>
    <cellStyle name="Normal 60" xfId="737"/>
    <cellStyle name="Normal 60 10" xfId="3245"/>
    <cellStyle name="Normal 60 11" xfId="3246"/>
    <cellStyle name="Normal 60 2" xfId="3247"/>
    <cellStyle name="Normal 60 3" xfId="3248"/>
    <cellStyle name="Normal 60 4" xfId="3249"/>
    <cellStyle name="Normal 60 5" xfId="3250"/>
    <cellStyle name="Normal 60 6" xfId="3251"/>
    <cellStyle name="Normal 60 7" xfId="3252"/>
    <cellStyle name="Normal 60 8" xfId="3253"/>
    <cellStyle name="Normal 60 9" xfId="3254"/>
    <cellStyle name="Normal 61" xfId="738"/>
    <cellStyle name="Normal 61 10" xfId="3255"/>
    <cellStyle name="Normal 61 11" xfId="3256"/>
    <cellStyle name="Normal 61 2" xfId="3257"/>
    <cellStyle name="Normal 61 3" xfId="3258"/>
    <cellStyle name="Normal 61 4" xfId="3259"/>
    <cellStyle name="Normal 61 5" xfId="3260"/>
    <cellStyle name="Normal 61 6" xfId="3261"/>
    <cellStyle name="Normal 61 7" xfId="3262"/>
    <cellStyle name="Normal 61 8" xfId="3263"/>
    <cellStyle name="Normal 61 9" xfId="3264"/>
    <cellStyle name="Normal 62" xfId="739"/>
    <cellStyle name="Normal 62 10" xfId="3265"/>
    <cellStyle name="Normal 62 11" xfId="3266"/>
    <cellStyle name="Normal 62 2" xfId="3267"/>
    <cellStyle name="Normal 62 3" xfId="3268"/>
    <cellStyle name="Normal 62 4" xfId="3269"/>
    <cellStyle name="Normal 62 5" xfId="3270"/>
    <cellStyle name="Normal 62 6" xfId="3271"/>
    <cellStyle name="Normal 62 7" xfId="3272"/>
    <cellStyle name="Normal 62 8" xfId="3273"/>
    <cellStyle name="Normal 62 9" xfId="3274"/>
    <cellStyle name="Normal 63" xfId="740"/>
    <cellStyle name="Normal 63 10" xfId="3275"/>
    <cellStyle name="Normal 63 11" xfId="3276"/>
    <cellStyle name="Normal 63 2" xfId="3277"/>
    <cellStyle name="Normal 63 3" xfId="3278"/>
    <cellStyle name="Normal 63 4" xfId="3279"/>
    <cellStyle name="Normal 63 5" xfId="3280"/>
    <cellStyle name="Normal 63 6" xfId="3281"/>
    <cellStyle name="Normal 63 7" xfId="3282"/>
    <cellStyle name="Normal 63 8" xfId="3283"/>
    <cellStyle name="Normal 63 9" xfId="3284"/>
    <cellStyle name="Normal 64" xfId="741"/>
    <cellStyle name="Normal 64 10" xfId="3285"/>
    <cellStyle name="Normal 64 11" xfId="3286"/>
    <cellStyle name="Normal 64 2" xfId="3287"/>
    <cellStyle name="Normal 64 3" xfId="3288"/>
    <cellStyle name="Normal 64 4" xfId="3289"/>
    <cellStyle name="Normal 64 5" xfId="3290"/>
    <cellStyle name="Normal 64 6" xfId="3291"/>
    <cellStyle name="Normal 64 7" xfId="3292"/>
    <cellStyle name="Normal 64 8" xfId="3293"/>
    <cellStyle name="Normal 64 9" xfId="3294"/>
    <cellStyle name="Normal 65" xfId="742"/>
    <cellStyle name="Normal 65 10" xfId="3295"/>
    <cellStyle name="Normal 65 11" xfId="3296"/>
    <cellStyle name="Normal 65 2" xfId="3297"/>
    <cellStyle name="Normal 65 3" xfId="3298"/>
    <cellStyle name="Normal 65 4" xfId="3299"/>
    <cellStyle name="Normal 65 5" xfId="3300"/>
    <cellStyle name="Normal 65 6" xfId="3301"/>
    <cellStyle name="Normal 65 7" xfId="3302"/>
    <cellStyle name="Normal 65 8" xfId="3303"/>
    <cellStyle name="Normal 65 9" xfId="3304"/>
    <cellStyle name="Normal 66" xfId="743"/>
    <cellStyle name="Normal 66 10" xfId="3305"/>
    <cellStyle name="Normal 66 11" xfId="3306"/>
    <cellStyle name="Normal 66 2" xfId="3307"/>
    <cellStyle name="Normal 66 3" xfId="3308"/>
    <cellStyle name="Normal 66 4" xfId="3309"/>
    <cellStyle name="Normal 66 5" xfId="3310"/>
    <cellStyle name="Normal 66 6" xfId="3311"/>
    <cellStyle name="Normal 66 7" xfId="3312"/>
    <cellStyle name="Normal 66 8" xfId="3313"/>
    <cellStyle name="Normal 66 9" xfId="3314"/>
    <cellStyle name="Normal 67" xfId="744"/>
    <cellStyle name="Normal 67 10" xfId="3315"/>
    <cellStyle name="Normal 67 11" xfId="3316"/>
    <cellStyle name="Normal 67 2" xfId="3317"/>
    <cellStyle name="Normal 67 3" xfId="3318"/>
    <cellStyle name="Normal 67 4" xfId="3319"/>
    <cellStyle name="Normal 67 5" xfId="3320"/>
    <cellStyle name="Normal 67 6" xfId="3321"/>
    <cellStyle name="Normal 67 7" xfId="3322"/>
    <cellStyle name="Normal 67 8" xfId="3323"/>
    <cellStyle name="Normal 67 9" xfId="3324"/>
    <cellStyle name="Normal 68" xfId="745"/>
    <cellStyle name="Normal 68 10" xfId="3325"/>
    <cellStyle name="Normal 68 11" xfId="3326"/>
    <cellStyle name="Normal 68 2" xfId="3327"/>
    <cellStyle name="Normal 68 3" xfId="3328"/>
    <cellStyle name="Normal 68 4" xfId="3329"/>
    <cellStyle name="Normal 68 5" xfId="3330"/>
    <cellStyle name="Normal 68 6" xfId="3331"/>
    <cellStyle name="Normal 68 7" xfId="3332"/>
    <cellStyle name="Normal 68 8" xfId="3333"/>
    <cellStyle name="Normal 68 9" xfId="3334"/>
    <cellStyle name="Normal 69" xfId="746"/>
    <cellStyle name="Normal 69 10" xfId="3335"/>
    <cellStyle name="Normal 69 11" xfId="3336"/>
    <cellStyle name="Normal 69 2" xfId="3337"/>
    <cellStyle name="Normal 69 3" xfId="3338"/>
    <cellStyle name="Normal 69 4" xfId="3339"/>
    <cellStyle name="Normal 69 5" xfId="3340"/>
    <cellStyle name="Normal 69 6" xfId="3341"/>
    <cellStyle name="Normal 69 7" xfId="3342"/>
    <cellStyle name="Normal 69 8" xfId="3343"/>
    <cellStyle name="Normal 69 9" xfId="3344"/>
    <cellStyle name="Normal 7" xfId="3345"/>
    <cellStyle name="Normal 7 2" xfId="3828"/>
    <cellStyle name="Normal 7 3" xfId="3829"/>
    <cellStyle name="Normal 70" xfId="747"/>
    <cellStyle name="Normal 70 10" xfId="3346"/>
    <cellStyle name="Normal 70 11" xfId="3347"/>
    <cellStyle name="Normal 70 2" xfId="3348"/>
    <cellStyle name="Normal 70 3" xfId="3349"/>
    <cellStyle name="Normal 70 4" xfId="3350"/>
    <cellStyle name="Normal 70 5" xfId="3351"/>
    <cellStyle name="Normal 70 6" xfId="3352"/>
    <cellStyle name="Normal 70 7" xfId="3353"/>
    <cellStyle name="Normal 70 8" xfId="3354"/>
    <cellStyle name="Normal 70 9" xfId="3355"/>
    <cellStyle name="Normal 71" xfId="748"/>
    <cellStyle name="Normal 71 10" xfId="3356"/>
    <cellStyle name="Normal 71 11" xfId="3357"/>
    <cellStyle name="Normal 71 2" xfId="749"/>
    <cellStyle name="Normal 71 2 2" xfId="3663"/>
    <cellStyle name="Normal 71 3" xfId="3358"/>
    <cellStyle name="Normal 71 4" xfId="3359"/>
    <cellStyle name="Normal 71 5" xfId="3360"/>
    <cellStyle name="Normal 71 6" xfId="3361"/>
    <cellStyle name="Normal 71 7" xfId="3362"/>
    <cellStyle name="Normal 71 8" xfId="3363"/>
    <cellStyle name="Normal 71 9" xfId="3364"/>
    <cellStyle name="Normal 72" xfId="750"/>
    <cellStyle name="Normal 72 10" xfId="3365"/>
    <cellStyle name="Normal 72 11" xfId="3366"/>
    <cellStyle name="Normal 72 2" xfId="3367"/>
    <cellStyle name="Normal 72 3" xfId="3368"/>
    <cellStyle name="Normal 72 4" xfId="3369"/>
    <cellStyle name="Normal 72 5" xfId="3370"/>
    <cellStyle name="Normal 72 6" xfId="3371"/>
    <cellStyle name="Normal 72 7" xfId="3372"/>
    <cellStyle name="Normal 72 8" xfId="3373"/>
    <cellStyle name="Normal 72 9" xfId="3374"/>
    <cellStyle name="Normal 73" xfId="751"/>
    <cellStyle name="Normal 73 10" xfId="3375"/>
    <cellStyle name="Normal 73 11" xfId="3376"/>
    <cellStyle name="Normal 73 2" xfId="752"/>
    <cellStyle name="Normal 73 2 2" xfId="3659"/>
    <cellStyle name="Normal 73 3" xfId="3377"/>
    <cellStyle name="Normal 73 4" xfId="3378"/>
    <cellStyle name="Normal 73 5" xfId="3379"/>
    <cellStyle name="Normal 73 6" xfId="3380"/>
    <cellStyle name="Normal 73 7" xfId="3381"/>
    <cellStyle name="Normal 73 8" xfId="3382"/>
    <cellStyle name="Normal 73 9" xfId="3383"/>
    <cellStyle name="Normal 74" xfId="753"/>
    <cellStyle name="Normal 74 10" xfId="3384"/>
    <cellStyle name="Normal 74 11" xfId="3385"/>
    <cellStyle name="Normal 74 2" xfId="754"/>
    <cellStyle name="Normal 74 2 2" xfId="3662"/>
    <cellStyle name="Normal 74 3" xfId="3386"/>
    <cellStyle name="Normal 74 4" xfId="3387"/>
    <cellStyle name="Normal 74 5" xfId="3388"/>
    <cellStyle name="Normal 74 6" xfId="3389"/>
    <cellStyle name="Normal 74 7" xfId="3390"/>
    <cellStyle name="Normal 74 8" xfId="3391"/>
    <cellStyle name="Normal 74 9" xfId="3392"/>
    <cellStyle name="Normal 75" xfId="755"/>
    <cellStyle name="Normal 75 10" xfId="3393"/>
    <cellStyle name="Normal 75 11" xfId="3394"/>
    <cellStyle name="Normal 75 2" xfId="3395"/>
    <cellStyle name="Normal 75 3" xfId="3396"/>
    <cellStyle name="Normal 75 4" xfId="3397"/>
    <cellStyle name="Normal 75 5" xfId="3398"/>
    <cellStyle name="Normal 75 6" xfId="3399"/>
    <cellStyle name="Normal 75 7" xfId="3400"/>
    <cellStyle name="Normal 75 8" xfId="3401"/>
    <cellStyle name="Normal 75 9" xfId="3402"/>
    <cellStyle name="Normal 76" xfId="756"/>
    <cellStyle name="Normal 76 10" xfId="3403"/>
    <cellStyle name="Normal 76 11" xfId="3404"/>
    <cellStyle name="Normal 76 2" xfId="3405"/>
    <cellStyle name="Normal 76 3" xfId="3406"/>
    <cellStyle name="Normal 76 4" xfId="3407"/>
    <cellStyle name="Normal 76 5" xfId="3408"/>
    <cellStyle name="Normal 76 6" xfId="3409"/>
    <cellStyle name="Normal 76 7" xfId="3410"/>
    <cellStyle name="Normal 76 8" xfId="3411"/>
    <cellStyle name="Normal 76 9" xfId="3412"/>
    <cellStyle name="Normal 77" xfId="757"/>
    <cellStyle name="Normal 77 10" xfId="3413"/>
    <cellStyle name="Normal 77 11" xfId="3414"/>
    <cellStyle name="Normal 77 2" xfId="3415"/>
    <cellStyle name="Normal 77 3" xfId="3416"/>
    <cellStyle name="Normal 77 4" xfId="3417"/>
    <cellStyle name="Normal 77 5" xfId="3418"/>
    <cellStyle name="Normal 77 6" xfId="3419"/>
    <cellStyle name="Normal 77 7" xfId="3420"/>
    <cellStyle name="Normal 77 8" xfId="3421"/>
    <cellStyle name="Normal 77 9" xfId="3422"/>
    <cellStyle name="Normal 78" xfId="758"/>
    <cellStyle name="Normal 78 10" xfId="3423"/>
    <cellStyle name="Normal 78 11" xfId="3424"/>
    <cellStyle name="Normal 78 2" xfId="3425"/>
    <cellStyle name="Normal 78 3" xfId="3426"/>
    <cellStyle name="Normal 78 4" xfId="3427"/>
    <cellStyle name="Normal 78 5" xfId="3428"/>
    <cellStyle name="Normal 78 6" xfId="3429"/>
    <cellStyle name="Normal 78 7" xfId="3430"/>
    <cellStyle name="Normal 78 8" xfId="3431"/>
    <cellStyle name="Normal 78 9" xfId="3432"/>
    <cellStyle name="Normal 79" xfId="759"/>
    <cellStyle name="Normal 79 10" xfId="3433"/>
    <cellStyle name="Normal 79 11" xfId="3434"/>
    <cellStyle name="Normal 79 2" xfId="760"/>
    <cellStyle name="Normal 79 2 2" xfId="3660"/>
    <cellStyle name="Normal 79 3" xfId="3435"/>
    <cellStyle name="Normal 79 4" xfId="3436"/>
    <cellStyle name="Normal 79 5" xfId="3437"/>
    <cellStyle name="Normal 79 6" xfId="3438"/>
    <cellStyle name="Normal 79 7" xfId="3439"/>
    <cellStyle name="Normal 79 8" xfId="3440"/>
    <cellStyle name="Normal 79 9" xfId="3441"/>
    <cellStyle name="Normal 8" xfId="3442"/>
    <cellStyle name="Normal 8 10" xfId="3443"/>
    <cellStyle name="Normal 8 11" xfId="3444"/>
    <cellStyle name="Normal 8 12" xfId="3445"/>
    <cellStyle name="Normal 8 13" xfId="3446"/>
    <cellStyle name="Normal 8 14" xfId="3447"/>
    <cellStyle name="Normal 8 15" xfId="3448"/>
    <cellStyle name="Normal 8 16" xfId="3449"/>
    <cellStyle name="Normal 8 2" xfId="761"/>
    <cellStyle name="Normal 8 2 2" xfId="3830"/>
    <cellStyle name="Normal 8 3" xfId="762"/>
    <cellStyle name="Normal 8 3 2" xfId="3831"/>
    <cellStyle name="Normal 8 4" xfId="3450"/>
    <cellStyle name="Normal 8 5" xfId="3451"/>
    <cellStyle name="Normal 8 6" xfId="3452"/>
    <cellStyle name="Normal 8 7" xfId="3453"/>
    <cellStyle name="Normal 8 8" xfId="3454"/>
    <cellStyle name="Normal 8 9" xfId="3455"/>
    <cellStyle name="Normal 80" xfId="763"/>
    <cellStyle name="Normal 80 10" xfId="3456"/>
    <cellStyle name="Normal 80 11" xfId="3457"/>
    <cellStyle name="Normal 80 2" xfId="3458"/>
    <cellStyle name="Normal 80 3" xfId="3459"/>
    <cellStyle name="Normal 80 4" xfId="3460"/>
    <cellStyle name="Normal 80 5" xfId="3461"/>
    <cellStyle name="Normal 80 6" xfId="3462"/>
    <cellStyle name="Normal 80 7" xfId="3463"/>
    <cellStyle name="Normal 80 8" xfId="3464"/>
    <cellStyle name="Normal 80 9" xfId="3465"/>
    <cellStyle name="Normal 81" xfId="764"/>
    <cellStyle name="Normal 81 10" xfId="3466"/>
    <cellStyle name="Normal 81 11" xfId="3467"/>
    <cellStyle name="Normal 81 2" xfId="3468"/>
    <cellStyle name="Normal 81 3" xfId="3469"/>
    <cellStyle name="Normal 81 4" xfId="3470"/>
    <cellStyle name="Normal 81 5" xfId="3471"/>
    <cellStyle name="Normal 81 6" xfId="3472"/>
    <cellStyle name="Normal 81 7" xfId="3473"/>
    <cellStyle name="Normal 81 8" xfId="3474"/>
    <cellStyle name="Normal 81 9" xfId="3475"/>
    <cellStyle name="Normal 82" xfId="765"/>
    <cellStyle name="Normal 82 10" xfId="3476"/>
    <cellStyle name="Normal 82 11" xfId="3477"/>
    <cellStyle name="Normal 82 2" xfId="3478"/>
    <cellStyle name="Normal 82 3" xfId="3479"/>
    <cellStyle name="Normal 82 4" xfId="3480"/>
    <cellStyle name="Normal 82 5" xfId="3481"/>
    <cellStyle name="Normal 82 6" xfId="3482"/>
    <cellStyle name="Normal 82 7" xfId="3483"/>
    <cellStyle name="Normal 82 8" xfId="3484"/>
    <cellStyle name="Normal 82 9" xfId="3485"/>
    <cellStyle name="Normal 83" xfId="766"/>
    <cellStyle name="Normal 83 10" xfId="3486"/>
    <cellStyle name="Normal 83 11" xfId="3487"/>
    <cellStyle name="Normal 83 2" xfId="3488"/>
    <cellStyle name="Normal 83 3" xfId="3489"/>
    <cellStyle name="Normal 83 4" xfId="3490"/>
    <cellStyle name="Normal 83 5" xfId="3491"/>
    <cellStyle name="Normal 83 6" xfId="3492"/>
    <cellStyle name="Normal 83 7" xfId="3493"/>
    <cellStyle name="Normal 83 8" xfId="3494"/>
    <cellStyle name="Normal 83 9" xfId="3495"/>
    <cellStyle name="Normal 84" xfId="767"/>
    <cellStyle name="Normal 84 10" xfId="3496"/>
    <cellStyle name="Normal 84 11" xfId="3497"/>
    <cellStyle name="Normal 84 2" xfId="3498"/>
    <cellStyle name="Normal 84 3" xfId="3499"/>
    <cellStyle name="Normal 84 4" xfId="3500"/>
    <cellStyle name="Normal 84 5" xfId="3501"/>
    <cellStyle name="Normal 84 6" xfId="3502"/>
    <cellStyle name="Normal 84 7" xfId="3503"/>
    <cellStyle name="Normal 84 8" xfId="3504"/>
    <cellStyle name="Normal 84 9" xfId="3505"/>
    <cellStyle name="Normal 85" xfId="768"/>
    <cellStyle name="Normal 85 10" xfId="3506"/>
    <cellStyle name="Normal 85 11" xfId="3507"/>
    <cellStyle name="Normal 85 2" xfId="3508"/>
    <cellStyle name="Normal 85 3" xfId="3509"/>
    <cellStyle name="Normal 85 4" xfId="3510"/>
    <cellStyle name="Normal 85 5" xfId="3511"/>
    <cellStyle name="Normal 85 6" xfId="3512"/>
    <cellStyle name="Normal 85 7" xfId="3513"/>
    <cellStyle name="Normal 85 8" xfId="3514"/>
    <cellStyle name="Normal 85 9" xfId="3515"/>
    <cellStyle name="Normal 86" xfId="769"/>
    <cellStyle name="Normal 86 10" xfId="3516"/>
    <cellStyle name="Normal 86 11" xfId="3517"/>
    <cellStyle name="Normal 86 2" xfId="3518"/>
    <cellStyle name="Normal 86 3" xfId="3519"/>
    <cellStyle name="Normal 86 4" xfId="3520"/>
    <cellStyle name="Normal 86 5" xfId="3521"/>
    <cellStyle name="Normal 86 6" xfId="3522"/>
    <cellStyle name="Normal 86 7" xfId="3523"/>
    <cellStyle name="Normal 86 8" xfId="3524"/>
    <cellStyle name="Normal 86 9" xfId="3525"/>
    <cellStyle name="Normal 87" xfId="770"/>
    <cellStyle name="Normal 87 10" xfId="3526"/>
    <cellStyle name="Normal 87 11" xfId="3527"/>
    <cellStyle name="Normal 87 2" xfId="3528"/>
    <cellStyle name="Normal 87 3" xfId="3529"/>
    <cellStyle name="Normal 87 4" xfId="3530"/>
    <cellStyle name="Normal 87 5" xfId="3531"/>
    <cellStyle name="Normal 87 6" xfId="3532"/>
    <cellStyle name="Normal 87 7" xfId="3533"/>
    <cellStyle name="Normal 87 8" xfId="3534"/>
    <cellStyle name="Normal 87 9" xfId="3535"/>
    <cellStyle name="Normal 88" xfId="771"/>
    <cellStyle name="Normal 88 10" xfId="3536"/>
    <cellStyle name="Normal 88 11" xfId="3537"/>
    <cellStyle name="Normal 88 2" xfId="3538"/>
    <cellStyle name="Normal 88 3" xfId="3539"/>
    <cellStyle name="Normal 88 4" xfId="3540"/>
    <cellStyle name="Normal 88 5" xfId="3541"/>
    <cellStyle name="Normal 88 6" xfId="3542"/>
    <cellStyle name="Normal 88 7" xfId="3543"/>
    <cellStyle name="Normal 88 8" xfId="3544"/>
    <cellStyle name="Normal 88 9" xfId="3545"/>
    <cellStyle name="Normal 89" xfId="772"/>
    <cellStyle name="Normal 89 10" xfId="3546"/>
    <cellStyle name="Normal 89 11" xfId="3547"/>
    <cellStyle name="Normal 89 2" xfId="3548"/>
    <cellStyle name="Normal 89 3" xfId="3549"/>
    <cellStyle name="Normal 89 4" xfId="3550"/>
    <cellStyle name="Normal 89 5" xfId="3551"/>
    <cellStyle name="Normal 89 6" xfId="3552"/>
    <cellStyle name="Normal 89 7" xfId="3553"/>
    <cellStyle name="Normal 89 8" xfId="3554"/>
    <cellStyle name="Normal 89 9" xfId="3555"/>
    <cellStyle name="Normal 9" xfId="3556"/>
    <cellStyle name="Normal 9 10" xfId="3557"/>
    <cellStyle name="Normal 9 11" xfId="3558"/>
    <cellStyle name="Normal 9 12" xfId="3559"/>
    <cellStyle name="Normal 9 13" xfId="3560"/>
    <cellStyle name="Normal 9 14" xfId="3561"/>
    <cellStyle name="Normal 9 15" xfId="3562"/>
    <cellStyle name="Normal 9 16" xfId="3563"/>
    <cellStyle name="Normal 9 2" xfId="773"/>
    <cellStyle name="Normal 9 2 2" xfId="3832"/>
    <cellStyle name="Normal 9 3" xfId="774"/>
    <cellStyle name="Normal 9 3 2" xfId="3833"/>
    <cellStyle name="Normal 9 4" xfId="3564"/>
    <cellStyle name="Normal 9 5" xfId="3565"/>
    <cellStyle name="Normal 9 6" xfId="3566"/>
    <cellStyle name="Normal 9 7" xfId="3567"/>
    <cellStyle name="Normal 9 8" xfId="3568"/>
    <cellStyle name="Normal 9 9" xfId="3569"/>
    <cellStyle name="Normal 90" xfId="775"/>
    <cellStyle name="Normal 90 10" xfId="3570"/>
    <cellStyle name="Normal 90 11" xfId="3571"/>
    <cellStyle name="Normal 90 2" xfId="3572"/>
    <cellStyle name="Normal 90 3" xfId="3573"/>
    <cellStyle name="Normal 90 4" xfId="3574"/>
    <cellStyle name="Normal 90 5" xfId="3575"/>
    <cellStyle name="Normal 90 6" xfId="3576"/>
    <cellStyle name="Normal 90 7" xfId="3577"/>
    <cellStyle name="Normal 90 8" xfId="3578"/>
    <cellStyle name="Normal 90 9" xfId="3579"/>
    <cellStyle name="Normal 91" xfId="776"/>
    <cellStyle name="Normal 91 10" xfId="3580"/>
    <cellStyle name="Normal 91 11" xfId="3581"/>
    <cellStyle name="Normal 91 2" xfId="3582"/>
    <cellStyle name="Normal 91 3" xfId="3583"/>
    <cellStyle name="Normal 91 4" xfId="3584"/>
    <cellStyle name="Normal 91 5" xfId="3585"/>
    <cellStyle name="Normal 91 6" xfId="3586"/>
    <cellStyle name="Normal 91 7" xfId="3587"/>
    <cellStyle name="Normal 91 8" xfId="3588"/>
    <cellStyle name="Normal 91 9" xfId="3589"/>
    <cellStyle name="Normal 92" xfId="777"/>
    <cellStyle name="Normal 92 10" xfId="3590"/>
    <cellStyle name="Normal 92 11" xfId="3591"/>
    <cellStyle name="Normal 92 2" xfId="3592"/>
    <cellStyle name="Normal 92 3" xfId="3593"/>
    <cellStyle name="Normal 92 4" xfId="3594"/>
    <cellStyle name="Normal 92 5" xfId="3595"/>
    <cellStyle name="Normal 92 6" xfId="3596"/>
    <cellStyle name="Normal 92 7" xfId="3597"/>
    <cellStyle name="Normal 92 8" xfId="3598"/>
    <cellStyle name="Normal 92 9" xfId="3599"/>
    <cellStyle name="Normal 93" xfId="778"/>
    <cellStyle name="Normal 93 10" xfId="3600"/>
    <cellStyle name="Normal 93 11" xfId="3601"/>
    <cellStyle name="Normal 93 2" xfId="3602"/>
    <cellStyle name="Normal 93 3" xfId="3603"/>
    <cellStyle name="Normal 93 4" xfId="3604"/>
    <cellStyle name="Normal 93 5" xfId="3605"/>
    <cellStyle name="Normal 93 6" xfId="3606"/>
    <cellStyle name="Normal 93 7" xfId="3607"/>
    <cellStyle name="Normal 93 8" xfId="3608"/>
    <cellStyle name="Normal 93 9" xfId="3609"/>
    <cellStyle name="Normal 94" xfId="779"/>
    <cellStyle name="Normal 94 10" xfId="3610"/>
    <cellStyle name="Normal 94 11" xfId="3611"/>
    <cellStyle name="Normal 94 2" xfId="3612"/>
    <cellStyle name="Normal 94 3" xfId="3613"/>
    <cellStyle name="Normal 94 4" xfId="3614"/>
    <cellStyle name="Normal 94 5" xfId="3615"/>
    <cellStyle name="Normal 94 6" xfId="3616"/>
    <cellStyle name="Normal 94 7" xfId="3617"/>
    <cellStyle name="Normal 94 8" xfId="3618"/>
    <cellStyle name="Normal 94 9" xfId="3619"/>
    <cellStyle name="Normal 95" xfId="780"/>
    <cellStyle name="Normal 95 10" xfId="3620"/>
    <cellStyle name="Normal 95 11" xfId="3621"/>
    <cellStyle name="Normal 95 2" xfId="3622"/>
    <cellStyle name="Normal 95 3" xfId="3623"/>
    <cellStyle name="Normal 95 4" xfId="3624"/>
    <cellStyle name="Normal 95 5" xfId="3625"/>
    <cellStyle name="Normal 95 6" xfId="3626"/>
    <cellStyle name="Normal 95 7" xfId="3627"/>
    <cellStyle name="Normal 95 8" xfId="3628"/>
    <cellStyle name="Normal 95 9" xfId="3629"/>
    <cellStyle name="Normal 96" xfId="781"/>
    <cellStyle name="Normal 97" xfId="782"/>
    <cellStyle name="Normal 97 10" xfId="3630"/>
    <cellStyle name="Normal 97 11" xfId="3631"/>
    <cellStyle name="Normal 97 2" xfId="3632"/>
    <cellStyle name="Normal 97 3" xfId="3633"/>
    <cellStyle name="Normal 97 4" xfId="3634"/>
    <cellStyle name="Normal 97 5" xfId="3635"/>
    <cellStyle name="Normal 97 6" xfId="3636"/>
    <cellStyle name="Normal 97 7" xfId="3637"/>
    <cellStyle name="Normal 97 8" xfId="3638"/>
    <cellStyle name="Normal 97 9" xfId="3639"/>
    <cellStyle name="Normal 98" xfId="783"/>
    <cellStyle name="Normal 98 10" xfId="3640"/>
    <cellStyle name="Normal 98 11" xfId="3641"/>
    <cellStyle name="Normal 98 2" xfId="3642"/>
    <cellStyle name="Normal 98 3" xfId="3643"/>
    <cellStyle name="Normal 98 4" xfId="3644"/>
    <cellStyle name="Normal 98 5" xfId="3645"/>
    <cellStyle name="Normal 98 6" xfId="3646"/>
    <cellStyle name="Normal 98 7" xfId="3647"/>
    <cellStyle name="Normal 98 8" xfId="3648"/>
    <cellStyle name="Normal 98 9" xfId="3649"/>
    <cellStyle name="Normal 99" xfId="784"/>
    <cellStyle name="Normal_BCEPS_Markups_2010.02.02" xfId="785"/>
    <cellStyle name="Note 2" xfId="786"/>
    <cellStyle name="Note 2 2" xfId="787"/>
    <cellStyle name="Note 2 3" xfId="3834"/>
    <cellStyle name="Note 3" xfId="788"/>
    <cellStyle name="Note 3 2" xfId="789"/>
    <cellStyle name="Note 3 3" xfId="3835"/>
    <cellStyle name="Note 4" xfId="790"/>
    <cellStyle name="Note 4 2" xfId="791"/>
    <cellStyle name="Note 4 3" xfId="3836"/>
    <cellStyle name="Note 5" xfId="792"/>
    <cellStyle name="Note 5 2" xfId="793"/>
    <cellStyle name="Note 5 3" xfId="3837"/>
    <cellStyle name="Output 2" xfId="794"/>
    <cellStyle name="Output 2 2" xfId="795"/>
    <cellStyle name="Output 2 3" xfId="3838"/>
    <cellStyle name="Output 3" xfId="796"/>
    <cellStyle name="Output 3 2" xfId="797"/>
    <cellStyle name="Output 3 3" xfId="3839"/>
    <cellStyle name="Output 4" xfId="798"/>
    <cellStyle name="Output 4 2" xfId="799"/>
    <cellStyle name="Output 4 3" xfId="3840"/>
    <cellStyle name="Output 5" xfId="800"/>
    <cellStyle name="Output 5 2" xfId="801"/>
    <cellStyle name="Output 5 3" xfId="3841"/>
    <cellStyle name="Percent" xfId="802" builtinId="5"/>
    <cellStyle name="Percent 2" xfId="829"/>
    <cellStyle name="Percent 2 2" xfId="803"/>
    <cellStyle name="Percent 2 2 2" xfId="3842"/>
    <cellStyle name="Percent 2 3" xfId="804"/>
    <cellStyle name="Percent 3" xfId="3650"/>
    <cellStyle name="Percent 4" xfId="3657"/>
    <cellStyle name="Title 2" xfId="805"/>
    <cellStyle name="Title 3" xfId="806"/>
    <cellStyle name="Title 4" xfId="807"/>
    <cellStyle name="Title 5" xfId="808"/>
    <cellStyle name="Title 6" xfId="809"/>
    <cellStyle name="Total 2" xfId="810"/>
    <cellStyle name="Total 2 2" xfId="811"/>
    <cellStyle name="Total 2 3" xfId="3843"/>
    <cellStyle name="Total 3" xfId="812"/>
    <cellStyle name="Total 3 2" xfId="813"/>
    <cellStyle name="Total 3 3" xfId="3844"/>
    <cellStyle name="Total 4" xfId="814"/>
    <cellStyle name="Total 4 2" xfId="815"/>
    <cellStyle name="Total 4 3" xfId="3845"/>
    <cellStyle name="Total 5" xfId="816"/>
    <cellStyle name="Total 5 2" xfId="817"/>
    <cellStyle name="Total 5 3" xfId="3846"/>
    <cellStyle name="Warning Text 2" xfId="818"/>
    <cellStyle name="Warning Text 2 2" xfId="819"/>
    <cellStyle name="Warning Text 2 3" xfId="3847"/>
    <cellStyle name="Warning Text 3" xfId="820"/>
    <cellStyle name="Warning Text 3 2" xfId="821"/>
    <cellStyle name="Warning Text 3 3" xfId="3848"/>
    <cellStyle name="Warning Text 4" xfId="822"/>
    <cellStyle name="Warning Text 4 2" xfId="823"/>
    <cellStyle name="Warning Text 4 3" xfId="3849"/>
    <cellStyle name="Warning Text 5" xfId="824"/>
    <cellStyle name="Warning Text 5 2" xfId="825"/>
    <cellStyle name="Warning Text 5 3" xfId="3850"/>
  </cellStyles>
  <dxfs count="4">
    <dxf>
      <fill>
        <patternFill>
          <bgColor rgb="FFFF0000"/>
        </patternFill>
      </fill>
    </dxf>
    <dxf>
      <fill>
        <patternFill>
          <bgColor rgb="FFFF0000"/>
        </patternFill>
      </fill>
    </dxf>
    <dxf>
      <font>
        <color rgb="FFFF0000"/>
      </font>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FF99"/>
      <color rgb="FFFECECE"/>
      <color rgb="FFFFFF99"/>
      <color rgb="FFE6B9B8"/>
      <color rgb="FF00CCFF"/>
      <color rgb="FF0099FF"/>
      <color rgb="FF0066FF"/>
      <color rgb="FF00FF00"/>
      <color rgb="FF33CC33"/>
      <color rgb="FF0099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rc1md\DRINTL_PROJECTS\CodesStandards\BCEPS\ECS%202008%20BCEPS\2.Preliminary%20Analysis\Handoff%20Workbooks\LCC\LCC%20BCEPS%202009_12_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C_efficiencydistribution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rc1md\Documents%20and%20Settings\mhartley\Local%20Settings\Temporary%20Internet%20Files\Content.Outlook\4YCQ73U9\UsageLoadingProfiles_2009%2005%201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rc1md\Documents%20and%20Settings\mhartley\Desktop\BC_Analysis_2009.12.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odesStandards\BCEPS\ECS%202008%20BCEPS\2.Preliminary%20Analysis\3.Market%20Assessment\efficiency%20distributions\2nd%20update,%20no%20shipment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mbaer.NCIWIN\Local%20Settings\Temporary%20Internet%20Files\Content.Outlook\RY7HKBOA\Determining%20Representative%20Units_Master_2009.06.15.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B Results Summary"/>
      <sheetName val="EPS Results"/>
      <sheetName val="BC Results"/>
      <sheetName val="Results Full"/>
      <sheetName val="Charts and Tables"/>
      <sheetName val="Change Log"/>
      <sheetName val="Instructions, Notes"/>
      <sheetName val="LCC Summary"/>
      <sheetName val="Setup"/>
      <sheetName val="Cash Flows"/>
      <sheetName val="Variables"/>
      <sheetName val="Rep Unit Summary"/>
      <sheetName val="NCA EPS Inputs"/>
      <sheetName val="Class A EPS Inputs"/>
      <sheetName val="BC Inputs"/>
      <sheetName val="Application Data"/>
      <sheetName val="Lifetime"/>
      <sheetName val="Markups"/>
      <sheetName val="Unit Price"/>
      <sheetName val="CB_DATA_"/>
      <sheetName val="Base Case Eff Dist"/>
      <sheetName val="Discount Rate"/>
      <sheetName val="Elec Prices"/>
      <sheetName val="Elec Price Trends"/>
    </sheetNames>
    <sheetDataSet>
      <sheetData sheetId="0"/>
      <sheetData sheetId="1">
        <row r="3">
          <cell r="A3" t="str">
            <v>Statistics</v>
          </cell>
          <cell r="B3" t="str">
            <v>Unit1 LCC Savings at CSL 1</v>
          </cell>
          <cell r="C3" t="str">
            <v>Unit1 LCC Savings at CSL 2</v>
          </cell>
          <cell r="D3" t="str">
            <v>Unit1 LCC Savings at CSL 3</v>
          </cell>
          <cell r="E3" t="str">
            <v>Unit1 PBP at CSL 1</v>
          </cell>
          <cell r="F3" t="str">
            <v>Unit1 PBP at CSL 2</v>
          </cell>
          <cell r="G3" t="str">
            <v>Unit1 PBP at CSL 3</v>
          </cell>
          <cell r="H3" t="str">
            <v>Unit1 Total Install at CSL 0</v>
          </cell>
          <cell r="I3" t="str">
            <v>Unit1 Total Install at CSL 1</v>
          </cell>
          <cell r="J3" t="str">
            <v>Unit1 Total Install at CSL 2</v>
          </cell>
          <cell r="K3" t="str">
            <v>Unit1 Total Install at CSL 3</v>
          </cell>
          <cell r="L3" t="str">
            <v>Unit1 Total LCC at CSL 0</v>
          </cell>
          <cell r="M3" t="str">
            <v>Unit1 Total LCC at CSL 1</v>
          </cell>
          <cell r="N3" t="str">
            <v>Unit1 Total LCC at CSL 2</v>
          </cell>
          <cell r="O3" t="str">
            <v>Unit1 Total LCC at CSL 3</v>
          </cell>
          <cell r="P3" t="str">
            <v>Unit1 Total Op Cost at CSL 0</v>
          </cell>
          <cell r="Q3" t="str">
            <v>Unit1 Total Op Cost at CSL 1</v>
          </cell>
          <cell r="R3" t="str">
            <v>Unit1 Total Op Cost at CSL 2</v>
          </cell>
          <cell r="S3" t="str">
            <v>Unit1 Total Op Cost at CSL 3</v>
          </cell>
          <cell r="T3" t="str">
            <v>Unit10 LCC Savings at CSL 1</v>
          </cell>
          <cell r="U3" t="str">
            <v>Unit10 LCC Savings at CSL 2</v>
          </cell>
          <cell r="V3" t="str">
            <v>Unit10 LCC Savings at CSL 3</v>
          </cell>
          <cell r="W3" t="str">
            <v>Unit10 PBP at CSL 1</v>
          </cell>
          <cell r="X3" t="str">
            <v>Unit10 PBP at CSL 2</v>
          </cell>
          <cell r="Y3" t="str">
            <v>Unit10 PBP at CSL 3</v>
          </cell>
          <cell r="Z3" t="str">
            <v>Unit10 Total Install at CSL 0</v>
          </cell>
          <cell r="AA3" t="str">
            <v>Unit10 Total Install at CSL 1</v>
          </cell>
          <cell r="AB3" t="str">
            <v>Unit10 Total Install at CSL 2</v>
          </cell>
          <cell r="AC3" t="str">
            <v>Unit10 Total Install at CSL 3</v>
          </cell>
          <cell r="AD3" t="str">
            <v>Unit10 Total LCC at CSL 0</v>
          </cell>
          <cell r="AE3" t="str">
            <v>Unit10 Total LCC at CSL 1</v>
          </cell>
          <cell r="AF3" t="str">
            <v>Unit10 Total LCC at CSL 2</v>
          </cell>
          <cell r="AG3" t="str">
            <v>Unit10 Total LCC at CSL 3</v>
          </cell>
          <cell r="AH3" t="str">
            <v>Unit10 Total Op Cost at CSL 0</v>
          </cell>
          <cell r="AI3" t="str">
            <v>Unit10 Total Op Cost at CSL 1</v>
          </cell>
          <cell r="AJ3" t="str">
            <v>Unit10 Total Op Cost at CSL 2</v>
          </cell>
          <cell r="AK3" t="str">
            <v>Unit10 Total Op Cost at CSL 3</v>
          </cell>
          <cell r="AL3" t="str">
            <v>Unit11 LCC Savings at CSL 1</v>
          </cell>
          <cell r="AM3" t="str">
            <v>Unit11 LCC Savings at CSL 2</v>
          </cell>
          <cell r="AN3" t="str">
            <v>Unit11 LCC Savings at CSL 3</v>
          </cell>
          <cell r="AO3" t="str">
            <v>Unit11 PBP at CSL 1</v>
          </cell>
          <cell r="AP3" t="str">
            <v>Unit11 PBP at CSL 2</v>
          </cell>
          <cell r="AQ3" t="str">
            <v>Unit11 PBP at CSL 3</v>
          </cell>
          <cell r="AR3" t="str">
            <v>Unit11 Total Install at CSL 0</v>
          </cell>
          <cell r="AS3" t="str">
            <v>Unit11 Total Install at CSL 1</v>
          </cell>
          <cell r="AT3" t="str">
            <v>Unit11 Total Install at CSL 2</v>
          </cell>
          <cell r="AU3" t="str">
            <v>Unit11 Total Install at CSL 3</v>
          </cell>
          <cell r="AV3" t="str">
            <v>Unit11 Total LCC at CSL 0</v>
          </cell>
          <cell r="AW3" t="str">
            <v>Unit11 Total LCC at CSL 1</v>
          </cell>
          <cell r="AX3" t="str">
            <v>Unit11 Total LCC at CSL 2</v>
          </cell>
          <cell r="AY3" t="str">
            <v>Unit11 Total LCC at CSL 3</v>
          </cell>
          <cell r="AZ3" t="str">
            <v>Unit11 Total Op Cost at CSL 0</v>
          </cell>
          <cell r="BA3" t="str">
            <v>Unit11 Total Op Cost at CSL 1</v>
          </cell>
          <cell r="BB3" t="str">
            <v>Unit11 Total Op Cost at CSL 2</v>
          </cell>
          <cell r="BC3" t="str">
            <v>Unit11 Total Op Cost at CSL 3</v>
          </cell>
          <cell r="BD3" t="str">
            <v>Unit12 LCC Savings at CSL 1</v>
          </cell>
          <cell r="BE3" t="str">
            <v>Unit12 LCC Savings at CSL 2</v>
          </cell>
          <cell r="BF3" t="str">
            <v>Unit12 LCC Savings at CSL 3</v>
          </cell>
          <cell r="BG3" t="str">
            <v>Unit12 PBP at CSL 1</v>
          </cell>
          <cell r="BH3" t="str">
            <v>Unit12 PBP at CSL 2</v>
          </cell>
          <cell r="BI3" t="str">
            <v>Unit12 PBP at CSL 3</v>
          </cell>
          <cell r="BJ3" t="str">
            <v>Unit12 Total Install at CSL 0</v>
          </cell>
          <cell r="BK3" t="str">
            <v>Unit12 Total Install at CSL 1</v>
          </cell>
          <cell r="BL3" t="str">
            <v>Unit12 Total Install at CSL 2</v>
          </cell>
          <cell r="BM3" t="str">
            <v>Unit12 Total Install at CSL 3</v>
          </cell>
          <cell r="BN3" t="str">
            <v>Unit12 Total LCC at CSL 0</v>
          </cell>
          <cell r="BO3" t="str">
            <v>Unit12 Total LCC at CSL 1</v>
          </cell>
          <cell r="BP3" t="str">
            <v>Unit12 Total LCC at CSL 2</v>
          </cell>
          <cell r="BQ3" t="str">
            <v>Unit12 Total LCC at CSL 3</v>
          </cell>
          <cell r="BR3" t="str">
            <v>Unit12 Total Op Cost at CSL 0</v>
          </cell>
          <cell r="BS3" t="str">
            <v>Unit12 Total Op Cost at CSL 1</v>
          </cell>
          <cell r="BT3" t="str">
            <v>Unit12 Total Op Cost at CSL 2</v>
          </cell>
          <cell r="BU3" t="str">
            <v>Unit12 Total Op Cost at CSL 3</v>
          </cell>
          <cell r="BV3" t="str">
            <v>Unit13 LCC Savings at CSL 1</v>
          </cell>
          <cell r="BW3" t="str">
            <v>Unit13 LCC Savings at CSL 2</v>
          </cell>
          <cell r="BX3" t="str">
            <v>Unit13 LCC Savings at CSL 3</v>
          </cell>
          <cell r="BY3" t="str">
            <v>Unit13 PBP at CSL 1</v>
          </cell>
          <cell r="BZ3" t="str">
            <v>Unit13 PBP at CSL 2</v>
          </cell>
          <cell r="CA3" t="str">
            <v>Unit13 PBP at CSL 3</v>
          </cell>
          <cell r="CB3" t="str">
            <v>Unit13 Total Install at CSL 0</v>
          </cell>
          <cell r="CC3" t="str">
            <v>Unit13 Total Install at CSL 1</v>
          </cell>
          <cell r="CD3" t="str">
            <v>Unit13 Total Install at CSL 2</v>
          </cell>
          <cell r="CE3" t="str">
            <v>Unit13 Total Install at CSL 3</v>
          </cell>
          <cell r="CF3" t="str">
            <v>Unit13 Total LCC at CSL 0</v>
          </cell>
          <cell r="CG3" t="str">
            <v>Unit13 Total LCC at CSL 1</v>
          </cell>
          <cell r="CH3" t="str">
            <v>Unit13 Total LCC at CSL 2</v>
          </cell>
          <cell r="CI3" t="str">
            <v>Unit13 Total LCC at CSL 3</v>
          </cell>
          <cell r="CJ3" t="str">
            <v>Unit13 Total Op Cost at CSL 0</v>
          </cell>
          <cell r="CK3" t="str">
            <v>Unit13 Total Op Cost at CSL 1</v>
          </cell>
          <cell r="CL3" t="str">
            <v>Unit13 Total Op Cost at CSL 2</v>
          </cell>
          <cell r="CM3" t="str">
            <v>Unit13 Total Op Cost at CSL 3</v>
          </cell>
          <cell r="CN3" t="str">
            <v>Unit14 LCC Savings at CSL 1</v>
          </cell>
          <cell r="CO3" t="str">
            <v>Unit14 LCC Savings at CSL 2</v>
          </cell>
          <cell r="CP3" t="str">
            <v>Unit14 LCC Savings at CSL 3</v>
          </cell>
          <cell r="CQ3" t="str">
            <v>Unit14 PBP at CSL 1</v>
          </cell>
          <cell r="CR3" t="str">
            <v>Unit14 PBP at CSL 2</v>
          </cell>
          <cell r="CS3" t="str">
            <v>Unit14 PBP at CSL 3</v>
          </cell>
          <cell r="CT3" t="str">
            <v>Unit14 Total Install at CSL 0</v>
          </cell>
          <cell r="CU3" t="str">
            <v>Unit14 Total Install at CSL 1</v>
          </cell>
          <cell r="CV3" t="str">
            <v>Unit14 Total Install at CSL 2</v>
          </cell>
          <cell r="CW3" t="str">
            <v>Unit14 Total Install at CSL 3</v>
          </cell>
          <cell r="CX3" t="str">
            <v>Unit14 Total LCC at CSL 0</v>
          </cell>
          <cell r="CY3" t="str">
            <v>Unit14 Total LCC at CSL 1</v>
          </cell>
          <cell r="CZ3" t="str">
            <v>Unit14 Total LCC at CSL 2</v>
          </cell>
          <cell r="DA3" t="str">
            <v>Unit14 Total LCC at CSL 3</v>
          </cell>
          <cell r="DB3" t="str">
            <v>Unit14 Total Op Cost at CSL 0</v>
          </cell>
          <cell r="DC3" t="str">
            <v>Unit14 Total Op Cost at CSL 1</v>
          </cell>
          <cell r="DD3" t="str">
            <v>Unit14 Total Op Cost at CSL 2</v>
          </cell>
          <cell r="DE3" t="str">
            <v>Unit14 Total Op Cost at CSL 3</v>
          </cell>
          <cell r="DF3" t="str">
            <v>Unit2 LCC Savings at CSL 1</v>
          </cell>
          <cell r="DG3" t="str">
            <v>Unit2 LCC Savings at CSL 2</v>
          </cell>
          <cell r="DH3" t="str">
            <v>Unit2 LCC Savings at CSL 3</v>
          </cell>
          <cell r="DI3" t="str">
            <v>Unit2 PBP at CSL 1</v>
          </cell>
          <cell r="DJ3" t="str">
            <v>Unit2 PBP at CSL 2</v>
          </cell>
          <cell r="DK3" t="str">
            <v>Unit2 PBP at CSL 3</v>
          </cell>
          <cell r="DL3" t="str">
            <v>Unit2 Total Install at CSL 0</v>
          </cell>
          <cell r="DM3" t="str">
            <v>Unit2 Total Install at CSL 1</v>
          </cell>
          <cell r="DN3" t="str">
            <v>Unit2 Total Install at CSL 2</v>
          </cell>
          <cell r="DO3" t="str">
            <v>Unit2 Total Install at CSL 3</v>
          </cell>
          <cell r="DP3" t="str">
            <v>Unit2 Total LCC at CSL 0</v>
          </cell>
          <cell r="DQ3" t="str">
            <v>Unit2 Total LCC at CSL 1</v>
          </cell>
          <cell r="DR3" t="str">
            <v>Unit2 Total LCC at CSL 2</v>
          </cell>
          <cell r="DS3" t="str">
            <v>Unit2 Total LCC at CSL 3</v>
          </cell>
          <cell r="DT3" t="str">
            <v>Unit2 Total Op Cost at CSL 0</v>
          </cell>
          <cell r="DU3" t="str">
            <v>Unit2 Total Op Cost at CSL 1</v>
          </cell>
          <cell r="DV3" t="str">
            <v>Unit2 Total Op Cost at CSL 2</v>
          </cell>
          <cell r="DW3" t="str">
            <v>Unit2 Total Op Cost at CSL 3</v>
          </cell>
          <cell r="DX3" t="str">
            <v>Unit3 LCC Savings at CSL 1</v>
          </cell>
          <cell r="DY3" t="str">
            <v>Unit3 LCC Savings at CSL 2</v>
          </cell>
          <cell r="DZ3" t="str">
            <v>Unit3 LCC Savings at CSL 3</v>
          </cell>
          <cell r="EA3" t="str">
            <v>Unit3 PBP at CSL 1</v>
          </cell>
          <cell r="EB3" t="str">
            <v>Unit3 PBP at CSL 2</v>
          </cell>
          <cell r="EC3" t="str">
            <v>Unit3 PBP at CSL 3</v>
          </cell>
          <cell r="ED3" t="str">
            <v>Unit3 Total Install at CSL 0</v>
          </cell>
          <cell r="EE3" t="str">
            <v>Unit3 Total Install at CSL 1</v>
          </cell>
          <cell r="EF3" t="str">
            <v>Unit3 Total Install at CSL 2</v>
          </cell>
          <cell r="EG3" t="str">
            <v>Unit3 Total Install at CSL 3</v>
          </cell>
          <cell r="EH3" t="str">
            <v>Unit3 Total LCC at CSL 0</v>
          </cell>
          <cell r="EI3" t="str">
            <v>Unit3 Total LCC at CSL 1</v>
          </cell>
          <cell r="EJ3" t="str">
            <v>Unit3 Total LCC at CSL 2</v>
          </cell>
          <cell r="EK3" t="str">
            <v>Unit3 Total LCC at CSL 3</v>
          </cell>
          <cell r="EL3" t="str">
            <v>Unit3 Total Op Cost at CSL 0</v>
          </cell>
          <cell r="EM3" t="str">
            <v>Unit3 Total Op Cost at CSL 1</v>
          </cell>
          <cell r="EN3" t="str">
            <v>Unit3 Total Op Cost at CSL 2</v>
          </cell>
          <cell r="EO3" t="str">
            <v>Unit3 Total Op Cost at CSL 3</v>
          </cell>
          <cell r="EP3" t="str">
            <v>Unit4 LCC Savings at CSL 1</v>
          </cell>
          <cell r="EQ3" t="str">
            <v>Unit4 LCC Savings at CSL 2</v>
          </cell>
          <cell r="ER3" t="str">
            <v>Unit4 LCC Savings at CSL 3</v>
          </cell>
          <cell r="ES3" t="str">
            <v>Unit4 PBP at CSL 1</v>
          </cell>
          <cell r="ET3" t="str">
            <v>Unit4 PBP at CSL 2</v>
          </cell>
          <cell r="EU3" t="str">
            <v>Unit4 PBP at CSL 3</v>
          </cell>
          <cell r="EV3" t="str">
            <v>Unit4 Total Install at CSL 0</v>
          </cell>
          <cell r="EW3" t="str">
            <v>Unit4 Total Install at CSL 1</v>
          </cell>
          <cell r="EX3" t="str">
            <v>Unit4 Total Install at CSL 2</v>
          </cell>
          <cell r="EY3" t="str">
            <v>Unit4 Total Install at CSL 3</v>
          </cell>
          <cell r="EZ3" t="str">
            <v>Unit4 Total LCC at CSL 0</v>
          </cell>
          <cell r="FA3" t="str">
            <v>Unit4 Total LCC at CSL 1</v>
          </cell>
          <cell r="FB3" t="str">
            <v>Unit4 Total LCC at CSL 2</v>
          </cell>
          <cell r="FC3" t="str">
            <v>Unit4 Total LCC at CSL 3</v>
          </cell>
          <cell r="FD3" t="str">
            <v>Unit4 Total Op Cost at CSL 0</v>
          </cell>
          <cell r="FE3" t="str">
            <v>Unit4 Total Op Cost at CSL 1</v>
          </cell>
          <cell r="FF3" t="str">
            <v>Unit4 Total Op Cost at CSL 2</v>
          </cell>
          <cell r="FG3" t="str">
            <v>Unit4 Total Op Cost at CSL 3</v>
          </cell>
          <cell r="FH3" t="str">
            <v>Unit5 LCC Savings at CSL 1</v>
          </cell>
          <cell r="FI3" t="str">
            <v>Unit5 LCC Savings at CSL 2</v>
          </cell>
          <cell r="FJ3" t="str">
            <v>Unit5 LCC Savings at CSL 3</v>
          </cell>
          <cell r="FK3" t="str">
            <v>Unit5 PBP at CSL 1</v>
          </cell>
          <cell r="FL3" t="str">
            <v>Unit5 PBP at CSL 2</v>
          </cell>
          <cell r="FM3" t="str">
            <v>Unit5 PBP at CSL 3</v>
          </cell>
          <cell r="FN3" t="str">
            <v>Unit5 Total Install at CSL 0</v>
          </cell>
          <cell r="FO3" t="str">
            <v>Unit5 Total Install at CSL 1</v>
          </cell>
          <cell r="FP3" t="str">
            <v>Unit5 Total Install at CSL 2</v>
          </cell>
          <cell r="FQ3" t="str">
            <v>Unit5 Total Install at CSL 3</v>
          </cell>
          <cell r="FR3" t="str">
            <v>Unit5 Total LCC at CSL 0</v>
          </cell>
          <cell r="FS3" t="str">
            <v>Unit5 Total LCC at CSL 1</v>
          </cell>
          <cell r="FT3" t="str">
            <v>Unit5 Total LCC at CSL 2</v>
          </cell>
          <cell r="FU3" t="str">
            <v>Unit5 Total LCC at CSL 3</v>
          </cell>
          <cell r="FV3" t="str">
            <v>Unit5 Total Op Cost at CSL 0</v>
          </cell>
          <cell r="FW3" t="str">
            <v>Unit5 Total Op Cost at CSL 1</v>
          </cell>
          <cell r="FX3" t="str">
            <v>Unit5 Total Op Cost at CSL 2</v>
          </cell>
          <cell r="FY3" t="str">
            <v>Unit5 Total Op Cost at CSL 3</v>
          </cell>
          <cell r="FZ3" t="str">
            <v>Unit6 LCC Savings at CSL 1</v>
          </cell>
          <cell r="GA3" t="str">
            <v>Unit6 LCC Savings at CSL 2</v>
          </cell>
          <cell r="GB3" t="str">
            <v>Unit6 LCC Savings at CSL 3</v>
          </cell>
          <cell r="GC3" t="str">
            <v>Unit6 PBP at CSL 1</v>
          </cell>
          <cell r="GD3" t="str">
            <v>Unit6 PBP at CSL 2</v>
          </cell>
          <cell r="GE3" t="str">
            <v>Unit6 PBP at CSL 3</v>
          </cell>
          <cell r="GF3" t="str">
            <v>Unit6 Total Install at CSL 0</v>
          </cell>
          <cell r="GG3" t="str">
            <v>Unit6 Total Install at CSL 1</v>
          </cell>
          <cell r="GH3" t="str">
            <v>Unit6 Total Install at CSL 2</v>
          </cell>
          <cell r="GI3" t="str">
            <v>Unit6 Total Install at CSL 3</v>
          </cell>
          <cell r="GJ3" t="str">
            <v>Unit6 Total LCC at CSL 0</v>
          </cell>
          <cell r="GK3" t="str">
            <v>Unit6 Total LCC at CSL 1</v>
          </cell>
          <cell r="GL3" t="str">
            <v>Unit6 Total LCC at CSL 2</v>
          </cell>
          <cell r="GM3" t="str">
            <v>Unit6 Total LCC at CSL 3</v>
          </cell>
          <cell r="GN3" t="str">
            <v>Unit6 Total Op Cost at CSL 0</v>
          </cell>
          <cell r="GO3" t="str">
            <v>Unit6 Total Op Cost at CSL 1</v>
          </cell>
          <cell r="GP3" t="str">
            <v>Unit6 Total Op Cost at CSL 2</v>
          </cell>
          <cell r="GQ3" t="str">
            <v>Unit6 Total Op Cost at CSL 3</v>
          </cell>
        </row>
        <row r="4">
          <cell r="A4" t="str">
            <v>Trials</v>
          </cell>
          <cell r="B4">
            <v>1000</v>
          </cell>
          <cell r="C4">
            <v>1000</v>
          </cell>
          <cell r="D4">
            <v>1000</v>
          </cell>
          <cell r="E4">
            <v>1000</v>
          </cell>
          <cell r="F4">
            <v>1000</v>
          </cell>
          <cell r="G4">
            <v>1000</v>
          </cell>
          <cell r="H4">
            <v>1000</v>
          </cell>
          <cell r="I4">
            <v>1000</v>
          </cell>
          <cell r="J4">
            <v>1000</v>
          </cell>
          <cell r="K4">
            <v>1000</v>
          </cell>
          <cell r="L4">
            <v>1000</v>
          </cell>
          <cell r="M4">
            <v>1000</v>
          </cell>
          <cell r="N4">
            <v>1000</v>
          </cell>
          <cell r="O4">
            <v>1000</v>
          </cell>
          <cell r="P4">
            <v>1000</v>
          </cell>
          <cell r="Q4">
            <v>1000</v>
          </cell>
          <cell r="R4">
            <v>1000</v>
          </cell>
          <cell r="S4">
            <v>1000</v>
          </cell>
          <cell r="T4">
            <v>1000</v>
          </cell>
          <cell r="U4">
            <v>1000</v>
          </cell>
          <cell r="V4">
            <v>1000</v>
          </cell>
          <cell r="W4">
            <v>1000</v>
          </cell>
          <cell r="X4">
            <v>1000</v>
          </cell>
          <cell r="Y4">
            <v>1000</v>
          </cell>
          <cell r="Z4">
            <v>1000</v>
          </cell>
          <cell r="AA4">
            <v>1000</v>
          </cell>
          <cell r="AB4">
            <v>1000</v>
          </cell>
          <cell r="AC4">
            <v>1000</v>
          </cell>
          <cell r="AD4">
            <v>1000</v>
          </cell>
          <cell r="AE4">
            <v>1000</v>
          </cell>
          <cell r="AF4">
            <v>1000</v>
          </cell>
          <cell r="AG4">
            <v>1000</v>
          </cell>
          <cell r="AH4">
            <v>1000</v>
          </cell>
          <cell r="AI4">
            <v>1000</v>
          </cell>
          <cell r="AJ4">
            <v>1000</v>
          </cell>
          <cell r="AK4">
            <v>1000</v>
          </cell>
          <cell r="AL4">
            <v>1000</v>
          </cell>
          <cell r="AM4">
            <v>1000</v>
          </cell>
          <cell r="AN4">
            <v>1000</v>
          </cell>
          <cell r="AO4">
            <v>1000</v>
          </cell>
          <cell r="AP4">
            <v>1000</v>
          </cell>
          <cell r="AQ4">
            <v>1000</v>
          </cell>
          <cell r="AR4">
            <v>1000</v>
          </cell>
          <cell r="AS4">
            <v>1000</v>
          </cell>
          <cell r="AT4">
            <v>1000</v>
          </cell>
          <cell r="AU4">
            <v>1000</v>
          </cell>
          <cell r="AV4">
            <v>1000</v>
          </cell>
          <cell r="AW4">
            <v>1000</v>
          </cell>
          <cell r="AX4">
            <v>1000</v>
          </cell>
          <cell r="AY4">
            <v>1000</v>
          </cell>
          <cell r="AZ4">
            <v>1000</v>
          </cell>
          <cell r="BA4">
            <v>1000</v>
          </cell>
          <cell r="BB4">
            <v>1000</v>
          </cell>
          <cell r="BC4">
            <v>1000</v>
          </cell>
          <cell r="BD4">
            <v>1000</v>
          </cell>
          <cell r="BE4">
            <v>1000</v>
          </cell>
          <cell r="BF4">
            <v>0</v>
          </cell>
          <cell r="BG4">
            <v>1000</v>
          </cell>
          <cell r="BH4">
            <v>1000</v>
          </cell>
          <cell r="BI4">
            <v>0</v>
          </cell>
          <cell r="BJ4">
            <v>1000</v>
          </cell>
          <cell r="BK4">
            <v>1000</v>
          </cell>
          <cell r="BL4">
            <v>1000</v>
          </cell>
          <cell r="BM4">
            <v>1000</v>
          </cell>
          <cell r="BN4">
            <v>1000</v>
          </cell>
          <cell r="BO4">
            <v>1000</v>
          </cell>
          <cell r="BP4">
            <v>1000</v>
          </cell>
          <cell r="BQ4">
            <v>1000</v>
          </cell>
          <cell r="BR4">
            <v>1000</v>
          </cell>
          <cell r="BS4">
            <v>1000</v>
          </cell>
          <cell r="BT4">
            <v>1000</v>
          </cell>
          <cell r="BU4">
            <v>1000</v>
          </cell>
          <cell r="BV4">
            <v>1000</v>
          </cell>
          <cell r="BW4">
            <v>1000</v>
          </cell>
          <cell r="BX4">
            <v>1000</v>
          </cell>
          <cell r="BY4">
            <v>1000</v>
          </cell>
          <cell r="BZ4">
            <v>1000</v>
          </cell>
          <cell r="CA4">
            <v>1000</v>
          </cell>
          <cell r="CB4">
            <v>1000</v>
          </cell>
          <cell r="CC4">
            <v>1000</v>
          </cell>
          <cell r="CD4">
            <v>1000</v>
          </cell>
          <cell r="CE4">
            <v>1000</v>
          </cell>
          <cell r="CF4">
            <v>1000</v>
          </cell>
          <cell r="CG4">
            <v>1000</v>
          </cell>
          <cell r="CH4">
            <v>1000</v>
          </cell>
          <cell r="CI4">
            <v>1000</v>
          </cell>
          <cell r="CJ4">
            <v>1000</v>
          </cell>
          <cell r="CK4">
            <v>1000</v>
          </cell>
          <cell r="CL4">
            <v>1000</v>
          </cell>
          <cell r="CM4">
            <v>1000</v>
          </cell>
          <cell r="CN4">
            <v>1000</v>
          </cell>
          <cell r="CO4">
            <v>1000</v>
          </cell>
          <cell r="CP4">
            <v>1000</v>
          </cell>
          <cell r="CQ4">
            <v>1000</v>
          </cell>
          <cell r="CR4">
            <v>1000</v>
          </cell>
          <cell r="CS4">
            <v>1000</v>
          </cell>
          <cell r="CT4">
            <v>1000</v>
          </cell>
          <cell r="CU4">
            <v>1000</v>
          </cell>
          <cell r="CV4">
            <v>1000</v>
          </cell>
          <cell r="CW4">
            <v>1000</v>
          </cell>
          <cell r="CX4">
            <v>1000</v>
          </cell>
          <cell r="CY4">
            <v>1000</v>
          </cell>
          <cell r="CZ4">
            <v>1000</v>
          </cell>
          <cell r="DA4">
            <v>1000</v>
          </cell>
          <cell r="DB4">
            <v>1000</v>
          </cell>
          <cell r="DC4">
            <v>1000</v>
          </cell>
          <cell r="DD4">
            <v>1000</v>
          </cell>
          <cell r="DE4">
            <v>1000</v>
          </cell>
          <cell r="DF4">
            <v>1000</v>
          </cell>
          <cell r="DG4">
            <v>1000</v>
          </cell>
          <cell r="DH4">
            <v>1000</v>
          </cell>
          <cell r="DI4">
            <v>1000</v>
          </cell>
          <cell r="DJ4">
            <v>1000</v>
          </cell>
          <cell r="DK4">
            <v>1000</v>
          </cell>
          <cell r="DL4">
            <v>1000</v>
          </cell>
          <cell r="DM4">
            <v>1000</v>
          </cell>
          <cell r="DN4">
            <v>1000</v>
          </cell>
          <cell r="DO4">
            <v>1000</v>
          </cell>
          <cell r="DP4">
            <v>1000</v>
          </cell>
          <cell r="DQ4">
            <v>1000</v>
          </cell>
          <cell r="DR4">
            <v>1000</v>
          </cell>
          <cell r="DS4">
            <v>1000</v>
          </cell>
          <cell r="DT4">
            <v>1000</v>
          </cell>
          <cell r="DU4">
            <v>1000</v>
          </cell>
          <cell r="DV4">
            <v>1000</v>
          </cell>
          <cell r="DW4">
            <v>1000</v>
          </cell>
          <cell r="DX4">
            <v>1000</v>
          </cell>
          <cell r="DY4">
            <v>1000</v>
          </cell>
          <cell r="DZ4">
            <v>1000</v>
          </cell>
          <cell r="EA4">
            <v>1000</v>
          </cell>
          <cell r="EB4">
            <v>1000</v>
          </cell>
          <cell r="EC4">
            <v>1000</v>
          </cell>
          <cell r="ED4">
            <v>1000</v>
          </cell>
          <cell r="EE4">
            <v>1000</v>
          </cell>
          <cell r="EF4">
            <v>1000</v>
          </cell>
          <cell r="EG4">
            <v>1000</v>
          </cell>
          <cell r="EH4">
            <v>1000</v>
          </cell>
          <cell r="EI4">
            <v>1000</v>
          </cell>
          <cell r="EJ4">
            <v>1000</v>
          </cell>
          <cell r="EK4">
            <v>1000</v>
          </cell>
          <cell r="EL4">
            <v>1000</v>
          </cell>
          <cell r="EM4">
            <v>1000</v>
          </cell>
          <cell r="EN4">
            <v>1000</v>
          </cell>
          <cell r="EO4">
            <v>1000</v>
          </cell>
          <cell r="EP4">
            <v>1000</v>
          </cell>
          <cell r="EQ4">
            <v>1000</v>
          </cell>
          <cell r="ER4">
            <v>1000</v>
          </cell>
          <cell r="ES4">
            <v>1000</v>
          </cell>
          <cell r="ET4">
            <v>1000</v>
          </cell>
          <cell r="EU4">
            <v>1000</v>
          </cell>
          <cell r="EV4">
            <v>1000</v>
          </cell>
          <cell r="EW4">
            <v>1000</v>
          </cell>
          <cell r="EX4">
            <v>1000</v>
          </cell>
          <cell r="EY4">
            <v>1000</v>
          </cell>
          <cell r="EZ4">
            <v>1000</v>
          </cell>
          <cell r="FA4">
            <v>1000</v>
          </cell>
          <cell r="FB4">
            <v>1000</v>
          </cell>
          <cell r="FC4">
            <v>1000</v>
          </cell>
          <cell r="FD4">
            <v>1000</v>
          </cell>
          <cell r="FE4">
            <v>1000</v>
          </cell>
          <cell r="FF4">
            <v>1000</v>
          </cell>
          <cell r="FG4">
            <v>1000</v>
          </cell>
          <cell r="FH4">
            <v>1000</v>
          </cell>
          <cell r="FI4">
            <v>1000</v>
          </cell>
          <cell r="FJ4">
            <v>1000</v>
          </cell>
          <cell r="FK4">
            <v>1000</v>
          </cell>
          <cell r="FL4">
            <v>1000</v>
          </cell>
          <cell r="FM4">
            <v>1000</v>
          </cell>
          <cell r="FN4">
            <v>1000</v>
          </cell>
          <cell r="FO4">
            <v>1000</v>
          </cell>
          <cell r="FP4">
            <v>1000</v>
          </cell>
          <cell r="FQ4">
            <v>1000</v>
          </cell>
          <cell r="FR4">
            <v>1000</v>
          </cell>
          <cell r="FS4">
            <v>1000</v>
          </cell>
          <cell r="FT4">
            <v>1000</v>
          </cell>
          <cell r="FU4">
            <v>1000</v>
          </cell>
          <cell r="FV4">
            <v>1000</v>
          </cell>
          <cell r="FW4">
            <v>1000</v>
          </cell>
          <cell r="FX4">
            <v>1000</v>
          </cell>
          <cell r="FY4">
            <v>1000</v>
          </cell>
          <cell r="FZ4">
            <v>1000</v>
          </cell>
          <cell r="GA4">
            <v>1000</v>
          </cell>
          <cell r="GB4">
            <v>1000</v>
          </cell>
          <cell r="GC4">
            <v>1000</v>
          </cell>
          <cell r="GD4">
            <v>1000</v>
          </cell>
          <cell r="GE4">
            <v>1000</v>
          </cell>
          <cell r="GF4">
            <v>1000</v>
          </cell>
          <cell r="GG4">
            <v>1000</v>
          </cell>
          <cell r="GH4">
            <v>1000</v>
          </cell>
          <cell r="GI4">
            <v>1000</v>
          </cell>
          <cell r="GJ4">
            <v>1000</v>
          </cell>
          <cell r="GK4">
            <v>1000</v>
          </cell>
          <cell r="GL4">
            <v>1000</v>
          </cell>
          <cell r="GM4">
            <v>1000</v>
          </cell>
          <cell r="GN4">
            <v>1000</v>
          </cell>
          <cell r="GO4">
            <v>1000</v>
          </cell>
          <cell r="GP4">
            <v>1000</v>
          </cell>
          <cell r="GQ4">
            <v>1000</v>
          </cell>
        </row>
        <row r="5">
          <cell r="A5" t="str">
            <v>Mean</v>
          </cell>
          <cell r="B5">
            <v>0.33115811986526494</v>
          </cell>
          <cell r="C5">
            <v>0.11557002818366899</v>
          </cell>
          <cell r="D5">
            <v>0.23219253033049422</v>
          </cell>
          <cell r="E5">
            <v>-0.98127752710396987</v>
          </cell>
          <cell r="F5">
            <v>2.8780116559187801</v>
          </cell>
          <cell r="G5">
            <v>3.8740902954146952</v>
          </cell>
          <cell r="H5">
            <v>8.477775854559054</v>
          </cell>
          <cell r="I5">
            <v>9.5211988349118002</v>
          </cell>
          <cell r="J5">
            <v>11.290174612970143</v>
          </cell>
          <cell r="K5">
            <v>11.705462017250229</v>
          </cell>
          <cell r="L5">
            <v>16.531087342217706</v>
          </cell>
          <cell r="M5">
            <v>15.229875332492549</v>
          </cell>
          <cell r="N5">
            <v>15.21488970505696</v>
          </cell>
          <cell r="O5">
            <v>15.069503524753225</v>
          </cell>
          <cell r="P5">
            <v>8.0533114876586662</v>
          </cell>
          <cell r="Q5">
            <v>5.7086764975808189</v>
          </cell>
          <cell r="R5">
            <v>3.9247150920868212</v>
          </cell>
          <cell r="S5">
            <v>3.3640415075029861</v>
          </cell>
          <cell r="T5">
            <v>0.32749111842405515</v>
          </cell>
          <cell r="U5">
            <v>0.128056577013867</v>
          </cell>
          <cell r="V5">
            <v>0.24019398967852829</v>
          </cell>
          <cell r="W5">
            <v>-0.97868092478479496</v>
          </cell>
          <cell r="X5">
            <v>2.8666208994384137</v>
          </cell>
          <cell r="Y5">
            <v>3.8721870302191874</v>
          </cell>
          <cell r="Z5">
            <v>8.477775854559054</v>
          </cell>
          <cell r="AA5">
            <v>9.5211988349118002</v>
          </cell>
          <cell r="AB5">
            <v>11.290174612970143</v>
          </cell>
          <cell r="AC5">
            <v>11.705462017250229</v>
          </cell>
          <cell r="AD5">
            <v>16.531087342217706</v>
          </cell>
          <cell r="AE5">
            <v>15.229875332492549</v>
          </cell>
          <cell r="AF5">
            <v>15.21488970505696</v>
          </cell>
          <cell r="AG5">
            <v>15.069503524753225</v>
          </cell>
          <cell r="AH5">
            <v>8.0533114876586662</v>
          </cell>
          <cell r="AI5">
            <v>5.7086764975808189</v>
          </cell>
          <cell r="AJ5">
            <v>3.9247150920868212</v>
          </cell>
          <cell r="AK5">
            <v>3.3640415075029861</v>
          </cell>
          <cell r="AL5">
            <v>1.833330230351186</v>
          </cell>
          <cell r="AM5">
            <v>-3.2499668417220802E-2</v>
          </cell>
          <cell r="AN5">
            <v>-7.1530951193575572</v>
          </cell>
          <cell r="AO5">
            <v>-1.854348180804694</v>
          </cell>
          <cell r="AP5">
            <v>6.9656952344951648</v>
          </cell>
          <cell r="AQ5">
            <v>16.162294982475622</v>
          </cell>
          <cell r="AR5">
            <v>19.137848804687227</v>
          </cell>
          <cell r="AS5">
            <v>28.201483469613123</v>
          </cell>
          <cell r="AT5">
            <v>28.580450772676297</v>
          </cell>
          <cell r="AU5">
            <v>38.402020043728605</v>
          </cell>
          <cell r="AV5">
            <v>83.360459402471534</v>
          </cell>
          <cell r="AW5">
            <v>44.715869051900619</v>
          </cell>
          <cell r="AX5">
            <v>44.839984725607501</v>
          </cell>
          <cell r="AY5">
            <v>51.960126725483192</v>
          </cell>
          <cell r="AZ5">
            <v>64.222610597784268</v>
          </cell>
          <cell r="BA5">
            <v>16.514385582287389</v>
          </cell>
          <cell r="BB5">
            <v>16.259533952931079</v>
          </cell>
          <cell r="BC5">
            <v>13.558106681754452</v>
          </cell>
          <cell r="BD5">
            <v>0</v>
          </cell>
          <cell r="BE5">
            <v>4.6633482196013718</v>
          </cell>
          <cell r="BF5" t="str">
            <v>---</v>
          </cell>
          <cell r="BG5">
            <v>-2</v>
          </cell>
          <cell r="BH5">
            <v>-0.16600000000000001</v>
          </cell>
          <cell r="BI5" t="str">
            <v>---</v>
          </cell>
          <cell r="BJ5">
            <v>19.922366326155235</v>
          </cell>
          <cell r="BK5">
            <v>19.922366326155235</v>
          </cell>
          <cell r="BL5">
            <v>15.914743453817318</v>
          </cell>
          <cell r="BM5">
            <v>0</v>
          </cell>
          <cell r="BN5">
            <v>29.770489874216988</v>
          </cell>
          <cell r="BO5">
            <v>29.770489874216988</v>
          </cell>
          <cell r="BP5">
            <v>24.675199566445361</v>
          </cell>
          <cell r="BQ5">
            <v>0</v>
          </cell>
          <cell r="BR5">
            <v>9.849855862125656</v>
          </cell>
          <cell r="BS5">
            <v>9.8430543605081677</v>
          </cell>
          <cell r="BT5">
            <v>8.7618399509460509</v>
          </cell>
          <cell r="BU5">
            <v>0</v>
          </cell>
          <cell r="BV5">
            <v>1.5076548337936193</v>
          </cell>
          <cell r="BW5">
            <v>4.2019959463743941</v>
          </cell>
          <cell r="BX5">
            <v>0.31237211459451303</v>
          </cell>
          <cell r="BY5">
            <v>-1.4098120334911926</v>
          </cell>
          <cell r="BZ5">
            <v>-0.30317564309870237</v>
          </cell>
          <cell r="CA5">
            <v>7.9334643037948451</v>
          </cell>
          <cell r="CB5">
            <v>10.652814605409088</v>
          </cell>
          <cell r="CC5">
            <v>13.079057907549307</v>
          </cell>
          <cell r="CD5">
            <v>13.079057907549307</v>
          </cell>
          <cell r="CE5">
            <v>20.588184949989291</v>
          </cell>
          <cell r="CF5">
            <v>41.993508480358472</v>
          </cell>
          <cell r="CG5">
            <v>32.803424948251319</v>
          </cell>
          <cell r="CH5">
            <v>28.125709444527491</v>
          </cell>
          <cell r="CI5">
            <v>31.191006758429928</v>
          </cell>
          <cell r="CJ5">
            <v>31.340693874949419</v>
          </cell>
          <cell r="CK5">
            <v>19.724367040701978</v>
          </cell>
          <cell r="CL5">
            <v>15.046651536978183</v>
          </cell>
          <cell r="CM5">
            <v>10.60282180844059</v>
          </cell>
          <cell r="CN5">
            <v>0.88033646985818992</v>
          </cell>
          <cell r="CO5">
            <v>0.90439882280785344</v>
          </cell>
          <cell r="CP5">
            <v>0.97463425337462795</v>
          </cell>
          <cell r="CQ5">
            <v>-1.5971447517543138</v>
          </cell>
          <cell r="CR5">
            <v>-1.4648569323141902</v>
          </cell>
          <cell r="CS5">
            <v>-0.33059861656312506</v>
          </cell>
          <cell r="CT5">
            <v>3.0810286891757155</v>
          </cell>
          <cell r="CU5">
            <v>3.5282771599548841</v>
          </cell>
          <cell r="CV5">
            <v>3.5282771599548841</v>
          </cell>
          <cell r="CW5">
            <v>3.5282771599548841</v>
          </cell>
          <cell r="CX5">
            <v>12.357627997744586</v>
          </cell>
          <cell r="CY5">
            <v>7.1471702968141724</v>
          </cell>
          <cell r="CZ5">
            <v>5.9238824759039899</v>
          </cell>
          <cell r="DA5">
            <v>5.0573869360926222</v>
          </cell>
          <cell r="DB5">
            <v>9.2765993085688354</v>
          </cell>
          <cell r="DC5">
            <v>3.6188931368592776</v>
          </cell>
          <cell r="DD5">
            <v>2.3956053159490969</v>
          </cell>
          <cell r="DE5">
            <v>1.5291097761377221</v>
          </cell>
          <cell r="DF5">
            <v>1.9633901887370195</v>
          </cell>
          <cell r="DG5">
            <v>-2.5996670497929135E-2</v>
          </cell>
          <cell r="DH5">
            <v>-7.1465921214382639</v>
          </cell>
          <cell r="DI5">
            <v>-1.8559258039766593</v>
          </cell>
          <cell r="DJ5">
            <v>6.9662309086747563</v>
          </cell>
          <cell r="DK5">
            <v>16.163569763917661</v>
          </cell>
          <cell r="DL5">
            <v>19.137848804687227</v>
          </cell>
          <cell r="DM5">
            <v>28.201483469613123</v>
          </cell>
          <cell r="DN5">
            <v>28.580450772676297</v>
          </cell>
          <cell r="DO5">
            <v>38.402020043728605</v>
          </cell>
          <cell r="DP5">
            <v>83.360459402471534</v>
          </cell>
          <cell r="DQ5">
            <v>44.715869051900619</v>
          </cell>
          <cell r="DR5">
            <v>44.839984725607501</v>
          </cell>
          <cell r="DS5">
            <v>51.960126725483192</v>
          </cell>
          <cell r="DT5">
            <v>64.222610597784268</v>
          </cell>
          <cell r="DU5">
            <v>16.514385582287389</v>
          </cell>
          <cell r="DV5">
            <v>16.259533952931079</v>
          </cell>
          <cell r="DW5">
            <v>13.558106681754452</v>
          </cell>
          <cell r="DX5">
            <v>137.18872359631914</v>
          </cell>
          <cell r="DY5">
            <v>85.600805816645305</v>
          </cell>
          <cell r="DZ5">
            <v>80.059036829737494</v>
          </cell>
          <cell r="EA5">
            <v>-0.79800000000000004</v>
          </cell>
          <cell r="EB5">
            <v>2.170454029546999</v>
          </cell>
          <cell r="EC5">
            <v>4.068258273282801</v>
          </cell>
          <cell r="ED5">
            <v>208.73863047787694</v>
          </cell>
          <cell r="EE5">
            <v>60.891150964930056</v>
          </cell>
          <cell r="EF5">
            <v>66.3213962947396</v>
          </cell>
          <cell r="EG5">
            <v>76.601212720424869</v>
          </cell>
          <cell r="EH5">
            <v>338.89144601354394</v>
          </cell>
          <cell r="EI5">
            <v>110.46866190823272</v>
          </cell>
          <cell r="EJ5">
            <v>107.17781544686835</v>
          </cell>
          <cell r="EK5">
            <v>112.71790807300225</v>
          </cell>
          <cell r="EL5">
            <v>130.15281553566746</v>
          </cell>
          <cell r="EM5">
            <v>49.57751094330235</v>
          </cell>
          <cell r="EN5">
            <v>40.856419152128709</v>
          </cell>
          <cell r="EO5">
            <v>36.116695352577899</v>
          </cell>
          <cell r="EP5">
            <v>1.4848396898402196</v>
          </cell>
          <cell r="EQ5">
            <v>4.1706464382068615</v>
          </cell>
          <cell r="ER5">
            <v>0.28699869006255641</v>
          </cell>
          <cell r="ES5">
            <v>-1.3990738924487758</v>
          </cell>
          <cell r="ET5">
            <v>-0.30189970424700224</v>
          </cell>
          <cell r="EU5">
            <v>7.8964390933819599</v>
          </cell>
          <cell r="EV5">
            <v>10.652814605409088</v>
          </cell>
          <cell r="EW5">
            <v>13.079057907549307</v>
          </cell>
          <cell r="EX5">
            <v>13.079057907549307</v>
          </cell>
          <cell r="EY5">
            <v>20.588184949989291</v>
          </cell>
          <cell r="EZ5">
            <v>41.993508480358472</v>
          </cell>
          <cell r="FA5">
            <v>32.803424948251319</v>
          </cell>
          <cell r="FB5">
            <v>28.125709444527491</v>
          </cell>
          <cell r="FC5">
            <v>31.191006758429928</v>
          </cell>
          <cell r="FD5">
            <v>31.33066250790295</v>
          </cell>
          <cell r="FE5">
            <v>19.71805376741154</v>
          </cell>
          <cell r="FF5">
            <v>15.041835482649903</v>
          </cell>
          <cell r="FG5">
            <v>10.599428112126363</v>
          </cell>
          <cell r="FH5">
            <v>0.86948997628734825</v>
          </cell>
          <cell r="FI5">
            <v>0.89402483755903839</v>
          </cell>
          <cell r="FJ5">
            <v>0.96761158458642715</v>
          </cell>
          <cell r="FK5">
            <v>-1.5965529477085287</v>
          </cell>
          <cell r="FL5">
            <v>-1.4645260480965905</v>
          </cell>
          <cell r="FM5">
            <v>-0.33051009926490094</v>
          </cell>
          <cell r="FN5">
            <v>3.0810286891757155</v>
          </cell>
          <cell r="FO5">
            <v>3.5282771599548841</v>
          </cell>
          <cell r="FP5">
            <v>3.5282771599548841</v>
          </cell>
          <cell r="FQ5">
            <v>3.5282771599548841</v>
          </cell>
          <cell r="FR5">
            <v>12.357627997744586</v>
          </cell>
          <cell r="FS5">
            <v>7.1471702968141724</v>
          </cell>
          <cell r="FT5">
            <v>5.9238824759039899</v>
          </cell>
          <cell r="FU5">
            <v>5.0573869360926222</v>
          </cell>
          <cell r="FV5">
            <v>9.2765993085688354</v>
          </cell>
          <cell r="FW5">
            <v>3.6188931368592776</v>
          </cell>
          <cell r="FX5">
            <v>2.3956053159490969</v>
          </cell>
          <cell r="FY5">
            <v>1.5291097761377221</v>
          </cell>
          <cell r="FZ5">
            <v>0.20755459787197675</v>
          </cell>
          <cell r="GA5">
            <v>0.26884533548963491</v>
          </cell>
          <cell r="GB5">
            <v>0.30082777184047949</v>
          </cell>
          <cell r="GC5">
            <v>-1.3875097172273918</v>
          </cell>
          <cell r="GD5">
            <v>-1.3549877799505772</v>
          </cell>
          <cell r="GE5">
            <v>-1.0850835341164253</v>
          </cell>
          <cell r="GF5">
            <v>4.3306077980419797</v>
          </cell>
          <cell r="GG5">
            <v>4.959247746129158</v>
          </cell>
          <cell r="GH5">
            <v>4.959247746129158</v>
          </cell>
          <cell r="GI5">
            <v>4.959247746129158</v>
          </cell>
          <cell r="GJ5">
            <v>7.8475602831587521</v>
          </cell>
          <cell r="GK5">
            <v>6.6412684998806917</v>
          </cell>
          <cell r="GL5">
            <v>6.1315652411681034</v>
          </cell>
          <cell r="GM5">
            <v>5.7747729600693063</v>
          </cell>
          <cell r="GN5">
            <v>3.5169524851167555</v>
          </cell>
          <cell r="GO5">
            <v>1.6820207537514931</v>
          </cell>
          <cell r="GP5">
            <v>1.1723174950389201</v>
          </cell>
          <cell r="GQ5">
            <v>0.81552521394011879</v>
          </cell>
        </row>
        <row r="6">
          <cell r="A6" t="str">
            <v>Median</v>
          </cell>
          <cell r="B6">
            <v>0</v>
          </cell>
          <cell r="C6">
            <v>0</v>
          </cell>
          <cell r="D6">
            <v>0.10344572193101995</v>
          </cell>
          <cell r="E6">
            <v>-2</v>
          </cell>
          <cell r="F6">
            <v>4.0769917809335912</v>
          </cell>
          <cell r="G6">
            <v>3.9664118820347523</v>
          </cell>
          <cell r="H6">
            <v>8.4543349520099671</v>
          </cell>
          <cell r="I6">
            <v>9.4948728859991505</v>
          </cell>
          <cell r="J6">
            <v>11.258957476847984</v>
          </cell>
          <cell r="K6">
            <v>11.673096618689858</v>
          </cell>
          <cell r="L6">
            <v>15.884887894279474</v>
          </cell>
          <cell r="M6">
            <v>14.763059411832629</v>
          </cell>
          <cell r="N6">
            <v>14.869820729303761</v>
          </cell>
          <cell r="O6">
            <v>14.763961118068231</v>
          </cell>
          <cell r="P6">
            <v>7.4388762199542748</v>
          </cell>
          <cell r="Q6">
            <v>5.2731274470561935</v>
          </cell>
          <cell r="R6">
            <v>3.6252751198511342</v>
          </cell>
          <cell r="S6">
            <v>3.1073786741581144</v>
          </cell>
          <cell r="T6">
            <v>0</v>
          </cell>
          <cell r="U6">
            <v>0</v>
          </cell>
          <cell r="V6">
            <v>0.10284649686717687</v>
          </cell>
          <cell r="W6">
            <v>-2</v>
          </cell>
          <cell r="X6">
            <v>4.0769917809335912</v>
          </cell>
          <cell r="Y6">
            <v>3.9312623108499207</v>
          </cell>
          <cell r="Z6">
            <v>8.4543349520099671</v>
          </cell>
          <cell r="AA6">
            <v>9.4948728859991505</v>
          </cell>
          <cell r="AB6">
            <v>11.258957476847984</v>
          </cell>
          <cell r="AC6">
            <v>11.673096618689858</v>
          </cell>
          <cell r="AD6">
            <v>15.884887894279474</v>
          </cell>
          <cell r="AE6">
            <v>14.763059411832629</v>
          </cell>
          <cell r="AF6">
            <v>14.869820729303761</v>
          </cell>
          <cell r="AG6">
            <v>14.763961118068231</v>
          </cell>
          <cell r="AH6">
            <v>7.4388762199542748</v>
          </cell>
          <cell r="AI6">
            <v>5.2731274470561935</v>
          </cell>
          <cell r="AJ6">
            <v>3.6252751198511342</v>
          </cell>
          <cell r="AK6">
            <v>3.1073786741581144</v>
          </cell>
          <cell r="AL6">
            <v>0</v>
          </cell>
          <cell r="AM6">
            <v>-0.13790393367660059</v>
          </cell>
          <cell r="AN6">
            <v>-7.3783627880860614</v>
          </cell>
          <cell r="AO6">
            <v>-2</v>
          </cell>
          <cell r="AP6">
            <v>7.5174098110311496</v>
          </cell>
          <cell r="AQ6">
            <v>17.44341500691835</v>
          </cell>
          <cell r="AR6">
            <v>19.084932986136888</v>
          </cell>
          <cell r="AS6">
            <v>28.123506859109309</v>
          </cell>
          <cell r="AT6">
            <v>28.501426324181331</v>
          </cell>
          <cell r="AU6">
            <v>38.295839127297782</v>
          </cell>
          <cell r="AV6">
            <v>78.39823566685449</v>
          </cell>
          <cell r="AW6">
            <v>43.359416949246778</v>
          </cell>
          <cell r="AX6">
            <v>43.495210517949218</v>
          </cell>
          <cell r="AY6">
            <v>50.776218299739668</v>
          </cell>
          <cell r="AZ6">
            <v>59.322683779382189</v>
          </cell>
          <cell r="BA6">
            <v>15.254404400412561</v>
          </cell>
          <cell r="BB6">
            <v>15.018996925097554</v>
          </cell>
          <cell r="BC6">
            <v>12.523677686758463</v>
          </cell>
          <cell r="BD6">
            <v>0</v>
          </cell>
          <cell r="BE6">
            <v>4.7789207643926161</v>
          </cell>
          <cell r="BF6" t="str">
            <v>---</v>
          </cell>
          <cell r="BG6">
            <v>-2</v>
          </cell>
          <cell r="BH6">
            <v>0</v>
          </cell>
          <cell r="BI6" t="str">
            <v>---</v>
          </cell>
          <cell r="BJ6">
            <v>19.495331400808169</v>
          </cell>
          <cell r="BK6">
            <v>19.495331400808169</v>
          </cell>
          <cell r="BL6">
            <v>15.573611724209666</v>
          </cell>
          <cell r="BM6">
            <v>0</v>
          </cell>
          <cell r="BN6">
            <v>27.850689486857156</v>
          </cell>
          <cell r="BO6">
            <v>27.850689486857156</v>
          </cell>
          <cell r="BP6">
            <v>22.931765395032265</v>
          </cell>
          <cell r="BQ6">
            <v>0</v>
          </cell>
          <cell r="BR6">
            <v>8.6338855572950699</v>
          </cell>
          <cell r="BS6">
            <v>8.6227514525739384</v>
          </cell>
          <cell r="BT6">
            <v>7.5683745229068879</v>
          </cell>
          <cell r="BU6">
            <v>0</v>
          </cell>
          <cell r="BV6">
            <v>0</v>
          </cell>
          <cell r="BW6">
            <v>4.3453901043184864</v>
          </cell>
          <cell r="BX6">
            <v>4.1715692096132143E-2</v>
          </cell>
          <cell r="BY6">
            <v>-2</v>
          </cell>
          <cell r="BZ6">
            <v>0</v>
          </cell>
          <cell r="CA6">
            <v>7.7380316092810348</v>
          </cell>
          <cell r="CB6">
            <v>10.623359758604558</v>
          </cell>
          <cell r="CC6">
            <v>13.042894540281237</v>
          </cell>
          <cell r="CD6">
            <v>13.042894540281237</v>
          </cell>
          <cell r="CE6">
            <v>20.531258977263178</v>
          </cell>
          <cell r="CF6">
            <v>40.103878266369456</v>
          </cell>
          <cell r="CG6">
            <v>31.561034189400516</v>
          </cell>
          <cell r="CH6">
            <v>27.165318551351014</v>
          </cell>
          <cell r="CI6">
            <v>30.479251116410701</v>
          </cell>
          <cell r="CJ6">
            <v>29.484226304757314</v>
          </cell>
          <cell r="CK6">
            <v>18.555993171899502</v>
          </cell>
          <cell r="CL6">
            <v>14.15536238014468</v>
          </cell>
          <cell r="CM6">
            <v>9.9747631279775959</v>
          </cell>
          <cell r="CN6">
            <v>0</v>
          </cell>
          <cell r="CO6">
            <v>0</v>
          </cell>
          <cell r="CP6">
            <v>0.82038575742685693</v>
          </cell>
          <cell r="CQ6">
            <v>-2</v>
          </cell>
          <cell r="CR6">
            <v>-2</v>
          </cell>
          <cell r="CS6">
            <v>0</v>
          </cell>
          <cell r="CT6">
            <v>3.07250969852383</v>
          </cell>
          <cell r="CU6">
            <v>3.5185215350726771</v>
          </cell>
          <cell r="CV6">
            <v>3.5185215350726771</v>
          </cell>
          <cell r="CW6">
            <v>3.5185215350726771</v>
          </cell>
          <cell r="CX6">
            <v>11.639551968325403</v>
          </cell>
          <cell r="CY6">
            <v>6.8564720165772508</v>
          </cell>
          <cell r="CZ6">
            <v>5.72949418028605</v>
          </cell>
          <cell r="DA6">
            <v>4.9289146024303152</v>
          </cell>
          <cell r="DB6">
            <v>8.5688321014663167</v>
          </cell>
          <cell r="DC6">
            <v>3.342786149473123</v>
          </cell>
          <cell r="DD6">
            <v>2.2128302679610821</v>
          </cell>
          <cell r="DE6">
            <v>1.4124448518900521</v>
          </cell>
          <cell r="DF6">
            <v>0</v>
          </cell>
          <cell r="DG6">
            <v>-0.13790393367660059</v>
          </cell>
          <cell r="DH6">
            <v>-7.3781892170791963</v>
          </cell>
          <cell r="DI6">
            <v>-2</v>
          </cell>
          <cell r="DJ6">
            <v>7.5174098110311496</v>
          </cell>
          <cell r="DK6">
            <v>17.44341500691835</v>
          </cell>
          <cell r="DL6">
            <v>19.084932986136888</v>
          </cell>
          <cell r="DM6">
            <v>28.123506859109309</v>
          </cell>
          <cell r="DN6">
            <v>28.501426324181331</v>
          </cell>
          <cell r="DO6">
            <v>38.295839127297782</v>
          </cell>
          <cell r="DP6">
            <v>78.39823566685449</v>
          </cell>
          <cell r="DQ6">
            <v>43.359416949246778</v>
          </cell>
          <cell r="DR6">
            <v>43.495210517949218</v>
          </cell>
          <cell r="DS6">
            <v>50.776218299739668</v>
          </cell>
          <cell r="DT6">
            <v>59.322683779382189</v>
          </cell>
          <cell r="DU6">
            <v>15.254404400412561</v>
          </cell>
          <cell r="DV6">
            <v>15.018996925097554</v>
          </cell>
          <cell r="DW6">
            <v>12.523677686758463</v>
          </cell>
          <cell r="DX6">
            <v>206.95611051431149</v>
          </cell>
          <cell r="DY6">
            <v>125.13562049903082</v>
          </cell>
          <cell r="DZ6">
            <v>118.4033228868276</v>
          </cell>
          <cell r="EA6">
            <v>0</v>
          </cell>
          <cell r="EB6">
            <v>0</v>
          </cell>
          <cell r="EC6">
            <v>0</v>
          </cell>
          <cell r="ED6">
            <v>208.16147180097767</v>
          </cell>
          <cell r="EE6">
            <v>60.722787993278608</v>
          </cell>
          <cell r="EF6">
            <v>66.138018789349829</v>
          </cell>
          <cell r="EG6">
            <v>76.389411701699061</v>
          </cell>
          <cell r="EH6">
            <v>330.96405249584177</v>
          </cell>
          <cell r="EI6">
            <v>107.56921383751282</v>
          </cell>
          <cell r="EJ6">
            <v>104.67798002373311</v>
          </cell>
          <cell r="EK6">
            <v>110.45467872244312</v>
          </cell>
          <cell r="EL6">
            <v>123.28221990737696</v>
          </cell>
          <cell r="EM6">
            <v>46.960379469452391</v>
          </cell>
          <cell r="EN6">
            <v>38.699662622053495</v>
          </cell>
          <cell r="EO6">
            <v>34.210142596293238</v>
          </cell>
          <cell r="EP6">
            <v>0</v>
          </cell>
          <cell r="EQ6">
            <v>4.3463413439004839</v>
          </cell>
          <cell r="ER6">
            <v>3.2427741278299987E-3</v>
          </cell>
          <cell r="ES6">
            <v>-2</v>
          </cell>
          <cell r="ET6">
            <v>0</v>
          </cell>
          <cell r="EU6">
            <v>7.7380316092810348</v>
          </cell>
          <cell r="EV6">
            <v>10.623359758604558</v>
          </cell>
          <cell r="EW6">
            <v>13.042894540281237</v>
          </cell>
          <cell r="EX6">
            <v>13.042894540281237</v>
          </cell>
          <cell r="EY6">
            <v>20.531258977263178</v>
          </cell>
          <cell r="EZ6">
            <v>40.103878266369456</v>
          </cell>
          <cell r="FA6">
            <v>31.561034189400516</v>
          </cell>
          <cell r="FB6">
            <v>27.165318551351014</v>
          </cell>
          <cell r="FC6">
            <v>30.479251116410701</v>
          </cell>
          <cell r="FD6">
            <v>29.47097827818088</v>
          </cell>
          <cell r="FE6">
            <v>18.547655483531749</v>
          </cell>
          <cell r="FF6">
            <v>14.149002009176394</v>
          </cell>
          <cell r="FG6">
            <v>9.970281208538804</v>
          </cell>
          <cell r="FH6">
            <v>0</v>
          </cell>
          <cell r="FI6">
            <v>0</v>
          </cell>
          <cell r="FJ6">
            <v>0.81518787624553646</v>
          </cell>
          <cell r="FK6">
            <v>-2</v>
          </cell>
          <cell r="FL6">
            <v>-2</v>
          </cell>
          <cell r="FM6">
            <v>0</v>
          </cell>
          <cell r="FN6">
            <v>3.07250969852383</v>
          </cell>
          <cell r="FO6">
            <v>3.5185215350726771</v>
          </cell>
          <cell r="FP6">
            <v>3.5185215350726771</v>
          </cell>
          <cell r="FQ6">
            <v>3.5185215350726771</v>
          </cell>
          <cell r="FR6">
            <v>11.639551968325403</v>
          </cell>
          <cell r="FS6">
            <v>6.8564720165772508</v>
          </cell>
          <cell r="FT6">
            <v>5.72949418028605</v>
          </cell>
          <cell r="FU6">
            <v>4.9289146024303152</v>
          </cell>
          <cell r="FV6">
            <v>8.5688321014663167</v>
          </cell>
          <cell r="FW6">
            <v>3.342786149473123</v>
          </cell>
          <cell r="FX6">
            <v>2.2128302679610821</v>
          </cell>
          <cell r="FY6">
            <v>1.4124448518900521</v>
          </cell>
          <cell r="FZ6">
            <v>0</v>
          </cell>
          <cell r="GA6">
            <v>0</v>
          </cell>
          <cell r="GB6">
            <v>0</v>
          </cell>
          <cell r="GC6">
            <v>-2</v>
          </cell>
          <cell r="GD6">
            <v>-2</v>
          </cell>
          <cell r="GE6">
            <v>-2</v>
          </cell>
          <cell r="GF6">
            <v>4.3186337429226045</v>
          </cell>
          <cell r="GG6">
            <v>4.9455355125046987</v>
          </cell>
          <cell r="GH6">
            <v>4.9455355125046987</v>
          </cell>
          <cell r="GI6">
            <v>4.9455355125046987</v>
          </cell>
          <cell r="GJ6">
            <v>7.5640117295718188</v>
          </cell>
          <cell r="GK6">
            <v>6.4913092571292053</v>
          </cell>
          <cell r="GL6">
            <v>6.0217165608518677</v>
          </cell>
          <cell r="GM6">
            <v>5.6947953142740664</v>
          </cell>
          <cell r="GN6">
            <v>3.2486231593471198</v>
          </cell>
          <cell r="GO6">
            <v>1.5536893370790572</v>
          </cell>
          <cell r="GP6">
            <v>1.0828743864490398</v>
          </cell>
          <cell r="GQ6">
            <v>0.7533039210080279</v>
          </cell>
        </row>
        <row r="7">
          <cell r="A7" t="str">
            <v>Mode</v>
          </cell>
          <cell r="B7">
            <v>0</v>
          </cell>
          <cell r="C7">
            <v>0</v>
          </cell>
          <cell r="D7">
            <v>0.16560235173116608</v>
          </cell>
          <cell r="E7">
            <v>-2</v>
          </cell>
          <cell r="F7">
            <v>-2</v>
          </cell>
          <cell r="G7">
            <v>4.3878934589992324</v>
          </cell>
          <cell r="H7">
            <v>8.4600101847632931</v>
          </cell>
          <cell r="I7">
            <v>9.5012466118920997</v>
          </cell>
          <cell r="J7">
            <v>11.266515398861202</v>
          </cell>
          <cell r="K7">
            <v>11.680932544358662</v>
          </cell>
          <cell r="L7">
            <v>16.54500220775946</v>
          </cell>
          <cell r="M7">
            <v>15.232380197813431</v>
          </cell>
          <cell r="N7">
            <v>15.206669739182118</v>
          </cell>
          <cell r="O7">
            <v>15.05820769320516</v>
          </cell>
          <cell r="P7">
            <v>8.0849920229961647</v>
          </cell>
          <cell r="Q7">
            <v>5.7311335859213308</v>
          </cell>
          <cell r="R7">
            <v>3.9401543403209156</v>
          </cell>
          <cell r="S7">
            <v>3.3772751488464992</v>
          </cell>
          <cell r="T7">
            <v>0</v>
          </cell>
          <cell r="U7">
            <v>0</v>
          </cell>
          <cell r="V7">
            <v>0.16560235173116608</v>
          </cell>
          <cell r="W7">
            <v>-2</v>
          </cell>
          <cell r="X7">
            <v>-2</v>
          </cell>
          <cell r="Y7">
            <v>4.3878934589992324</v>
          </cell>
          <cell r="Z7">
            <v>8.4600101847632931</v>
          </cell>
          <cell r="AA7">
            <v>9.5012466118920997</v>
          </cell>
          <cell r="AB7">
            <v>11.266515398861202</v>
          </cell>
          <cell r="AC7">
            <v>11.680932544358662</v>
          </cell>
          <cell r="AD7">
            <v>16.54500220775946</v>
          </cell>
          <cell r="AE7">
            <v>15.232380197813431</v>
          </cell>
          <cell r="AF7">
            <v>15.206669739182118</v>
          </cell>
          <cell r="AG7">
            <v>15.05820769320516</v>
          </cell>
          <cell r="AH7">
            <v>8.0849920229961647</v>
          </cell>
          <cell r="AI7">
            <v>5.7311335859213308</v>
          </cell>
          <cell r="AJ7">
            <v>3.9401543403209156</v>
          </cell>
          <cell r="AK7">
            <v>3.3772751488464992</v>
          </cell>
          <cell r="AL7">
            <v>0</v>
          </cell>
          <cell r="AM7">
            <v>-8.7702034346321511E-2</v>
          </cell>
          <cell r="AN7">
            <v>-6.7965624743071231</v>
          </cell>
          <cell r="AO7">
            <v>-2</v>
          </cell>
          <cell r="AP7">
            <v>7.5174098110311496</v>
          </cell>
          <cell r="AQ7">
            <v>17.44341500691835</v>
          </cell>
          <cell r="AR7">
            <v>19.097744335272303</v>
          </cell>
          <cell r="AS7">
            <v>28.142385629369915</v>
          </cell>
          <cell r="AT7">
            <v>28.520558784523825</v>
          </cell>
          <cell r="AU7">
            <v>38.321546388929249</v>
          </cell>
          <cell r="AV7">
            <v>83.57299717688727</v>
          </cell>
          <cell r="AW7">
            <v>44.721736360070906</v>
          </cell>
          <cell r="AX7">
            <v>44.844055337281901</v>
          </cell>
          <cell r="AY7">
            <v>51.932988655492416</v>
          </cell>
          <cell r="AZ7">
            <v>64.475252841614974</v>
          </cell>
          <cell r="BA7">
            <v>16.579350730700995</v>
          </cell>
          <cell r="BB7">
            <v>16.32349655275808</v>
          </cell>
          <cell r="BC7">
            <v>13.611442266563165</v>
          </cell>
          <cell r="BD7">
            <v>0</v>
          </cell>
          <cell r="BE7">
            <v>0</v>
          </cell>
          <cell r="BF7" t="str">
            <v>---</v>
          </cell>
          <cell r="BG7">
            <v>-2</v>
          </cell>
          <cell r="BH7">
            <v>0</v>
          </cell>
          <cell r="BI7" t="str">
            <v>---</v>
          </cell>
          <cell r="BJ7">
            <v>19.539634571738489</v>
          </cell>
          <cell r="BK7">
            <v>19.539634571738489</v>
          </cell>
          <cell r="BL7">
            <v>15.609002781075285</v>
          </cell>
          <cell r="BM7">
            <v>0</v>
          </cell>
          <cell r="BN7">
            <v>26.814478137378799</v>
          </cell>
          <cell r="BO7">
            <v>26.814478137378799</v>
          </cell>
          <cell r="BP7">
            <v>21.90085207868788</v>
          </cell>
          <cell r="BQ7">
            <v>0</v>
          </cell>
          <cell r="BR7">
            <v>7.0724860299999541</v>
          </cell>
          <cell r="BS7">
            <v>7.0724860299999541</v>
          </cell>
          <cell r="BT7">
            <v>6.1301984067023643</v>
          </cell>
          <cell r="BU7">
            <v>0</v>
          </cell>
          <cell r="BV7">
            <v>0</v>
          </cell>
          <cell r="BW7">
            <v>0</v>
          </cell>
          <cell r="BX7">
            <v>2.3619434264538981</v>
          </cell>
          <cell r="BY7">
            <v>-2</v>
          </cell>
          <cell r="BZ7">
            <v>0</v>
          </cell>
          <cell r="CA7">
            <v>7.7380316092810348</v>
          </cell>
          <cell r="CB7">
            <v>10.630491016071245</v>
          </cell>
          <cell r="CC7">
            <v>13.051649984998457</v>
          </cell>
          <cell r="CD7">
            <v>13.051649984998457</v>
          </cell>
          <cell r="CE7">
            <v>20.54504121727096</v>
          </cell>
          <cell r="CF7">
            <v>43.998468061939462</v>
          </cell>
          <cell r="CG7">
            <v>34.051894245209056</v>
          </cell>
          <cell r="CH7">
            <v>29.071599163736181</v>
          </cell>
          <cell r="CI7">
            <v>31.833710068609459</v>
          </cell>
          <cell r="CJ7">
            <v>33.367977045868216</v>
          </cell>
          <cell r="CK7">
            <v>21.000244260210597</v>
          </cell>
          <cell r="CL7">
            <v>16.019949178737726</v>
          </cell>
          <cell r="CM7">
            <v>11.2886688513385</v>
          </cell>
          <cell r="CN7">
            <v>0</v>
          </cell>
          <cell r="CO7">
            <v>0</v>
          </cell>
          <cell r="CP7">
            <v>0</v>
          </cell>
          <cell r="CQ7">
            <v>-2</v>
          </cell>
          <cell r="CR7">
            <v>-2</v>
          </cell>
          <cell r="CS7">
            <v>0</v>
          </cell>
          <cell r="CT7">
            <v>3.0745722153007211</v>
          </cell>
          <cell r="CU7">
            <v>3.5208834510332441</v>
          </cell>
          <cell r="CV7">
            <v>3.5208834510332441</v>
          </cell>
          <cell r="CW7">
            <v>3.5208834510332441</v>
          </cell>
          <cell r="CX7">
            <v>12.387664292422883</v>
          </cell>
          <cell r="CY7">
            <v>7.1540127778226594</v>
          </cell>
          <cell r="CZ7">
            <v>5.9259127236966602</v>
          </cell>
          <cell r="DA7">
            <v>5.056008518690744</v>
          </cell>
          <cell r="DB7">
            <v>9.3130920771221621</v>
          </cell>
          <cell r="DC7">
            <v>3.6331293267894154</v>
          </cell>
          <cell r="DD7">
            <v>2.4050292726634162</v>
          </cell>
          <cell r="DE7">
            <v>1.5351250676574997</v>
          </cell>
          <cell r="DF7">
            <v>0</v>
          </cell>
          <cell r="DG7">
            <v>-8.7702034346321497E-2</v>
          </cell>
          <cell r="DH7">
            <v>-6.7965624743071222</v>
          </cell>
          <cell r="DI7">
            <v>-2</v>
          </cell>
          <cell r="DJ7">
            <v>7.5174098110311496</v>
          </cell>
          <cell r="DK7">
            <v>17.44341500691835</v>
          </cell>
          <cell r="DL7">
            <v>19.097744335272303</v>
          </cell>
          <cell r="DM7">
            <v>28.142385629369915</v>
          </cell>
          <cell r="DN7">
            <v>28.520558784523825</v>
          </cell>
          <cell r="DO7">
            <v>38.321546388929249</v>
          </cell>
          <cell r="DP7">
            <v>83.57299717688727</v>
          </cell>
          <cell r="DQ7">
            <v>44.721736360070906</v>
          </cell>
          <cell r="DR7">
            <v>44.844055337281901</v>
          </cell>
          <cell r="DS7">
            <v>51.932988655492416</v>
          </cell>
          <cell r="DT7">
            <v>64.475252841614974</v>
          </cell>
          <cell r="DU7">
            <v>16.579350730700995</v>
          </cell>
          <cell r="DV7">
            <v>16.32349655275808</v>
          </cell>
          <cell r="DW7">
            <v>13.611442266563165</v>
          </cell>
          <cell r="DX7">
            <v>0</v>
          </cell>
          <cell r="DY7">
            <v>5.5029480512208693</v>
          </cell>
          <cell r="DZ7">
            <v>1.197023711548411</v>
          </cell>
          <cell r="EA7">
            <v>0</v>
          </cell>
          <cell r="EB7">
            <v>0</v>
          </cell>
          <cell r="EC7">
            <v>0</v>
          </cell>
          <cell r="ED7">
            <v>208.30120660087042</v>
          </cell>
          <cell r="EE7">
            <v>60.763550035148121</v>
          </cell>
          <cell r="EF7">
            <v>66.182415971695221</v>
          </cell>
          <cell r="EG7">
            <v>76.440690447307986</v>
          </cell>
          <cell r="EH7">
            <v>352.13538866355702</v>
          </cell>
          <cell r="EI7">
            <v>115.55253562785394</v>
          </cell>
          <cell r="EJ7">
            <v>111.333568534709</v>
          </cell>
          <cell r="EK7">
            <v>116.35389027679349</v>
          </cell>
          <cell r="EL7">
            <v>143.83418206268664</v>
          </cell>
          <cell r="EM7">
            <v>54.788985592705821</v>
          </cell>
          <cell r="EN7">
            <v>45.151152563013788</v>
          </cell>
          <cell r="EO7">
            <v>39.913199829485507</v>
          </cell>
          <cell r="EP7">
            <v>0</v>
          </cell>
          <cell r="EQ7">
            <v>0</v>
          </cell>
          <cell r="ER7">
            <v>2.3619434264538981</v>
          </cell>
          <cell r="ES7">
            <v>-2</v>
          </cell>
          <cell r="ET7">
            <v>0</v>
          </cell>
          <cell r="EU7">
            <v>7.7380316092810348</v>
          </cell>
          <cell r="EV7">
            <v>10.630491016071245</v>
          </cell>
          <cell r="EW7">
            <v>13.051649984998457</v>
          </cell>
          <cell r="EX7">
            <v>13.051649984998457</v>
          </cell>
          <cell r="EY7">
            <v>20.54504121727096</v>
          </cell>
          <cell r="EZ7">
            <v>43.998468061939462</v>
          </cell>
          <cell r="FA7">
            <v>34.051894245209056</v>
          </cell>
          <cell r="FB7">
            <v>29.071599163736181</v>
          </cell>
          <cell r="FC7">
            <v>31.833710068609459</v>
          </cell>
          <cell r="FD7">
            <v>33.367977045868216</v>
          </cell>
          <cell r="FE7">
            <v>21.000244260210597</v>
          </cell>
          <cell r="FF7">
            <v>16.019949178737726</v>
          </cell>
          <cell r="FG7">
            <v>11.2886688513385</v>
          </cell>
          <cell r="FH7">
            <v>0</v>
          </cell>
          <cell r="FI7">
            <v>0</v>
          </cell>
          <cell r="FJ7">
            <v>0</v>
          </cell>
          <cell r="FK7">
            <v>-2</v>
          </cell>
          <cell r="FL7">
            <v>-2</v>
          </cell>
          <cell r="FM7">
            <v>0</v>
          </cell>
          <cell r="FN7">
            <v>3.0745722153007211</v>
          </cell>
          <cell r="FO7">
            <v>3.5208834510332441</v>
          </cell>
          <cell r="FP7">
            <v>3.5208834510332441</v>
          </cell>
          <cell r="FQ7">
            <v>3.5208834510332441</v>
          </cell>
          <cell r="FR7">
            <v>12.387664292422883</v>
          </cell>
          <cell r="FS7">
            <v>7.1540127778226594</v>
          </cell>
          <cell r="FT7">
            <v>5.9259127236966602</v>
          </cell>
          <cell r="FU7">
            <v>5.056008518690744</v>
          </cell>
          <cell r="FV7">
            <v>9.3130920771221621</v>
          </cell>
          <cell r="FW7">
            <v>3.6331293267894154</v>
          </cell>
          <cell r="FX7">
            <v>2.4050292726634162</v>
          </cell>
          <cell r="FY7">
            <v>1.5351250676574997</v>
          </cell>
          <cell r="FZ7">
            <v>0</v>
          </cell>
          <cell r="GA7">
            <v>0</v>
          </cell>
          <cell r="GB7">
            <v>0</v>
          </cell>
          <cell r="GC7">
            <v>-2</v>
          </cell>
          <cell r="GD7">
            <v>-2</v>
          </cell>
          <cell r="GE7">
            <v>-2</v>
          </cell>
          <cell r="GF7">
            <v>4.321532758848349</v>
          </cell>
          <cell r="GG7">
            <v>4.948855355553575</v>
          </cell>
          <cell r="GH7">
            <v>4.948855355553575</v>
          </cell>
          <cell r="GI7">
            <v>4.948855355553575</v>
          </cell>
          <cell r="GJ7">
            <v>7.852320414460598</v>
          </cell>
          <cell r="GK7">
            <v>6.6374929299768244</v>
          </cell>
          <cell r="GL7">
            <v>6.1257845740909911</v>
          </cell>
          <cell r="GM7">
            <v>5.7675887249709081</v>
          </cell>
          <cell r="GN7">
            <v>3.5307876556122495</v>
          </cell>
          <cell r="GO7">
            <v>1.6886375744232496</v>
          </cell>
          <cell r="GP7">
            <v>1.1769292185374163</v>
          </cell>
          <cell r="GQ7">
            <v>0.8187333694173331</v>
          </cell>
        </row>
        <row r="8">
          <cell r="A8" t="str">
            <v>Standard Deviation</v>
          </cell>
          <cell r="B8">
            <v>0.65330857398169484</v>
          </cell>
          <cell r="C8">
            <v>0.50927644584592058</v>
          </cell>
          <cell r="D8">
            <v>0.48629396797927504</v>
          </cell>
          <cell r="E8">
            <v>1.7779497476235981</v>
          </cell>
          <cell r="F8">
            <v>2.9321162401892567</v>
          </cell>
          <cell r="G8">
            <v>0.82713332589498079</v>
          </cell>
          <cell r="H8">
            <v>8.2900722161534365E-2</v>
          </cell>
          <cell r="I8">
            <v>9.3103931125199824E-2</v>
          </cell>
          <cell r="J8">
            <v>0.11040202581455624</v>
          </cell>
          <cell r="K8">
            <v>0.11446295244319471</v>
          </cell>
          <cell r="L8">
            <v>2.1382676400924736</v>
          </cell>
          <cell r="M8">
            <v>1.5281630239039958</v>
          </cell>
          <cell r="N8">
            <v>1.0687252481196194</v>
          </cell>
          <cell r="O8">
            <v>0.92433550742282145</v>
          </cell>
          <cell r="P8">
            <v>2.1105044291626216</v>
          </cell>
          <cell r="Q8">
            <v>1.4960537725709722</v>
          </cell>
          <cell r="R8">
            <v>1.0285369686425436</v>
          </cell>
          <cell r="S8">
            <v>0.88160311597932306</v>
          </cell>
          <cell r="T8">
            <v>0.64298258023868815</v>
          </cell>
          <cell r="U8">
            <v>0.50614684652419872</v>
          </cell>
          <cell r="V8">
            <v>0.48487891068646483</v>
          </cell>
          <cell r="W8">
            <v>1.7830048016061639</v>
          </cell>
          <cell r="X8">
            <v>2.91973867541342</v>
          </cell>
          <cell r="Y8">
            <v>0.81774724895038242</v>
          </cell>
          <cell r="Z8">
            <v>8.2900722161534365E-2</v>
          </cell>
          <cell r="AA8">
            <v>9.3103931125199824E-2</v>
          </cell>
          <cell r="AB8">
            <v>0.11040202581455624</v>
          </cell>
          <cell r="AC8">
            <v>0.11446295244319471</v>
          </cell>
          <cell r="AD8">
            <v>2.1382676400924736</v>
          </cell>
          <cell r="AE8">
            <v>1.5281630239039958</v>
          </cell>
          <cell r="AF8">
            <v>1.0687252481196194</v>
          </cell>
          <cell r="AG8">
            <v>0.92433550742282145</v>
          </cell>
          <cell r="AH8">
            <v>2.1105044291626216</v>
          </cell>
          <cell r="AI8">
            <v>1.4960537725709722</v>
          </cell>
          <cell r="AJ8">
            <v>1.0285369686425436</v>
          </cell>
          <cell r="AK8">
            <v>0.88160311597932306</v>
          </cell>
          <cell r="AL8">
            <v>8.283506344250732</v>
          </cell>
          <cell r="AM8">
            <v>0.41979860322950779</v>
          </cell>
          <cell r="AN8">
            <v>0.85625985968611806</v>
          </cell>
          <cell r="AO8">
            <v>0.63624103672311927</v>
          </cell>
          <cell r="AP8">
            <v>1.4114076675872897</v>
          </cell>
          <cell r="AQ8">
            <v>3.2749788194159435</v>
          </cell>
          <cell r="AR8">
            <v>0.18714124007815658</v>
          </cell>
          <cell r="AS8">
            <v>0.27577083727688578</v>
          </cell>
          <cell r="AT8">
            <v>0.27947660440714645</v>
          </cell>
          <cell r="AU8">
            <v>0.37551773586639897</v>
          </cell>
          <cell r="AV8">
            <v>16.890947015541428</v>
          </cell>
          <cell r="AW8">
            <v>4.4231531388833112</v>
          </cell>
          <cell r="AX8">
            <v>4.357870246475148</v>
          </cell>
          <cell r="AY8">
            <v>3.6895635963118907</v>
          </cell>
          <cell r="AZ8">
            <v>16.830604941423434</v>
          </cell>
          <cell r="BA8">
            <v>4.3278698420803119</v>
          </cell>
          <cell r="BB8">
            <v>4.2610817272333925</v>
          </cell>
          <cell r="BC8">
            <v>3.5531277098560587</v>
          </cell>
          <cell r="BD8">
            <v>0</v>
          </cell>
          <cell r="BE8">
            <v>1.5577289065605475</v>
          </cell>
          <cell r="BF8" t="str">
            <v>---</v>
          </cell>
          <cell r="BG8">
            <v>0</v>
          </cell>
          <cell r="BH8">
            <v>0.5520405317988456</v>
          </cell>
          <cell r="BI8" t="str">
            <v>---</v>
          </cell>
          <cell r="BJ8">
            <v>2.2698822457428354</v>
          </cell>
          <cell r="BK8">
            <v>2.2698822457428354</v>
          </cell>
          <cell r="BL8">
            <v>1.8132682142254115</v>
          </cell>
          <cell r="BM8">
            <v>0</v>
          </cell>
          <cell r="BN8">
            <v>6.1010367903112153</v>
          </cell>
          <cell r="BO8">
            <v>6.1010367903112153</v>
          </cell>
          <cell r="BP8">
            <v>5.4284830780893767</v>
          </cell>
          <cell r="BQ8">
            <v>0</v>
          </cell>
          <cell r="BR8">
            <v>4.93945451114985</v>
          </cell>
          <cell r="BS8">
            <v>4.9372628362020912</v>
          </cell>
          <cell r="BT8">
            <v>4.5360396073601263</v>
          </cell>
          <cell r="BU8">
            <v>0</v>
          </cell>
          <cell r="BV8">
            <v>3.5666437472921726</v>
          </cell>
          <cell r="BW8">
            <v>2.4063363687537325</v>
          </cell>
          <cell r="BX8">
            <v>2.7887175360026668</v>
          </cell>
          <cell r="BY8">
            <v>1.3146616769864399</v>
          </cell>
          <cell r="BZ8">
            <v>0.77265824419711127</v>
          </cell>
          <cell r="CA8">
            <v>2.5842362451706768</v>
          </cell>
          <cell r="CB8">
            <v>0.10416954151559027</v>
          </cell>
          <cell r="CC8">
            <v>0.12789478801156179</v>
          </cell>
          <cell r="CD8">
            <v>0.12789478801156179</v>
          </cell>
          <cell r="CE8">
            <v>0.20132348738985828</v>
          </cell>
          <cell r="CF8">
            <v>8.8546177277227667</v>
          </cell>
          <cell r="CG8">
            <v>5.5920016917497053</v>
          </cell>
          <cell r="CH8">
            <v>4.275485328921147</v>
          </cell>
          <cell r="CI8">
            <v>3.0503295413920233</v>
          </cell>
          <cell r="CJ8">
            <v>8.8234172328994767</v>
          </cell>
          <cell r="CK8">
            <v>5.5530461689640997</v>
          </cell>
          <cell r="CL8">
            <v>4.23611822375522</v>
          </cell>
          <cell r="CM8">
            <v>2.9850366758067888</v>
          </cell>
          <cell r="CN8">
            <v>2.0433918010243239</v>
          </cell>
          <cell r="CO8">
            <v>1.8553746573619601</v>
          </cell>
          <cell r="CP8">
            <v>0.75345112201719344</v>
          </cell>
          <cell r="CQ8">
            <v>0.89112754862644283</v>
          </cell>
          <cell r="CR8">
            <v>0.92877194030426569</v>
          </cell>
          <cell r="CS8">
            <v>0.75618611863950413</v>
          </cell>
          <cell r="CT8">
            <v>3.0128126493898566E-2</v>
          </cell>
          <cell r="CU8">
            <v>3.4501587393232946E-2</v>
          </cell>
          <cell r="CV8">
            <v>3.4501587393232946E-2</v>
          </cell>
          <cell r="CW8">
            <v>3.4501587393232946E-2</v>
          </cell>
          <cell r="CX8">
            <v>2.4408190587338754</v>
          </cell>
          <cell r="CY8">
            <v>0.95990181445480782</v>
          </cell>
          <cell r="CZ8">
            <v>0.63959846570808143</v>
          </cell>
          <cell r="DA8">
            <v>0.41297953742177529</v>
          </cell>
          <cell r="DB8">
            <v>2.4310873804278303</v>
          </cell>
          <cell r="DC8">
            <v>0.94839123082624099</v>
          </cell>
          <cell r="DD8">
            <v>0.62780827956103313</v>
          </cell>
          <cell r="DE8">
            <v>0.40072868908151044</v>
          </cell>
          <cell r="DF8">
            <v>9.0320981568396466</v>
          </cell>
          <cell r="DG8">
            <v>0.46170575943441672</v>
          </cell>
          <cell r="DH8">
            <v>0.90487388064306939</v>
          </cell>
          <cell r="DI8">
            <v>0.62954285621762585</v>
          </cell>
          <cell r="DJ8">
            <v>1.4135844695181963</v>
          </cell>
          <cell r="DK8">
            <v>3.280152940910309</v>
          </cell>
          <cell r="DL8">
            <v>0.18714124007815658</v>
          </cell>
          <cell r="DM8">
            <v>0.27577083727688578</v>
          </cell>
          <cell r="DN8">
            <v>0.27947660440714645</v>
          </cell>
          <cell r="DO8">
            <v>0.37551773586639897</v>
          </cell>
          <cell r="DP8">
            <v>16.890947015541428</v>
          </cell>
          <cell r="DQ8">
            <v>4.4231531388833112</v>
          </cell>
          <cell r="DR8">
            <v>4.357870246475148</v>
          </cell>
          <cell r="DS8">
            <v>3.6895635963118907</v>
          </cell>
          <cell r="DT8">
            <v>16.830604941423434</v>
          </cell>
          <cell r="DU8">
            <v>4.3278698420803119</v>
          </cell>
          <cell r="DV8">
            <v>4.2610817272333925</v>
          </cell>
          <cell r="DW8">
            <v>3.5531277098560587</v>
          </cell>
          <cell r="DX8">
            <v>113.400572793694</v>
          </cell>
          <cell r="DY8">
            <v>68.393323717843529</v>
          </cell>
          <cell r="DZ8">
            <v>68.618747287313283</v>
          </cell>
          <cell r="EA8">
            <v>0.97987558197770275</v>
          </cell>
          <cell r="EB8">
            <v>2.7538984349750031</v>
          </cell>
          <cell r="EC8">
            <v>5.1618555101146439</v>
          </cell>
          <cell r="ED8">
            <v>2.0411701732264973</v>
          </cell>
          <cell r="EE8">
            <v>0.59542980079205066</v>
          </cell>
          <cell r="EF8">
            <v>0.6485299613858736</v>
          </cell>
          <cell r="EG8">
            <v>0.74905210540068101</v>
          </cell>
          <cell r="EH8">
            <v>39.209745944506459</v>
          </cell>
          <cell r="EI8">
            <v>14.877336574731707</v>
          </cell>
          <cell r="EJ8">
            <v>12.310915289315082</v>
          </cell>
          <cell r="EK8">
            <v>10.941377830876695</v>
          </cell>
          <cell r="EL8">
            <v>38.592769042869342</v>
          </cell>
          <cell r="EM8">
            <v>14.700668761413448</v>
          </cell>
          <cell r="EN8">
            <v>12.114700260361756</v>
          </cell>
          <cell r="EO8">
            <v>10.709282596746707</v>
          </cell>
          <cell r="EP8">
            <v>3.4947978581424017</v>
          </cell>
          <cell r="EQ8">
            <v>2.3813765112522685</v>
          </cell>
          <cell r="ER8">
            <v>2.732055382617403</v>
          </cell>
          <cell r="ES8">
            <v>1.3341470589392925</v>
          </cell>
          <cell r="ET8">
            <v>0.77350867528950995</v>
          </cell>
          <cell r="EU8">
            <v>2.4254806167401886</v>
          </cell>
          <cell r="EV8">
            <v>0.10416954151559027</v>
          </cell>
          <cell r="EW8">
            <v>0.12789478801156179</v>
          </cell>
          <cell r="EX8">
            <v>0.12789478801156179</v>
          </cell>
          <cell r="EY8">
            <v>0.20132348738985828</v>
          </cell>
          <cell r="EZ8">
            <v>8.8546177277227667</v>
          </cell>
          <cell r="FA8">
            <v>5.5920016917497053</v>
          </cell>
          <cell r="FB8">
            <v>4.275485328921147</v>
          </cell>
          <cell r="FC8">
            <v>3.0503295413920233</v>
          </cell>
          <cell r="FD8">
            <v>8.8202287476767829</v>
          </cell>
          <cell r="FE8">
            <v>5.5510394854781753</v>
          </cell>
          <cell r="FF8">
            <v>4.2345874335861176</v>
          </cell>
          <cell r="FG8">
            <v>2.9839579842886619</v>
          </cell>
          <cell r="FH8">
            <v>2.0263985488827312</v>
          </cell>
          <cell r="FI8">
            <v>1.8412944923575931</v>
          </cell>
          <cell r="FJ8">
            <v>0.74729752488795453</v>
          </cell>
          <cell r="FK8">
            <v>0.89247907491545375</v>
          </cell>
          <cell r="FL8">
            <v>0.92938135797767829</v>
          </cell>
          <cell r="FM8">
            <v>0.75623252205638247</v>
          </cell>
          <cell r="FN8">
            <v>3.0128126493898566E-2</v>
          </cell>
          <cell r="FO8">
            <v>3.4501587393232946E-2</v>
          </cell>
          <cell r="FP8">
            <v>3.4501587393232946E-2</v>
          </cell>
          <cell r="FQ8">
            <v>3.4501587393232946E-2</v>
          </cell>
          <cell r="FR8">
            <v>2.4408190587338754</v>
          </cell>
          <cell r="FS8">
            <v>0.95990181445480782</v>
          </cell>
          <cell r="FT8">
            <v>0.63959846570808143</v>
          </cell>
          <cell r="FU8">
            <v>0.41297953742177529</v>
          </cell>
          <cell r="FV8">
            <v>2.4310873804278303</v>
          </cell>
          <cell r="FW8">
            <v>0.94839123082624099</v>
          </cell>
          <cell r="FX8">
            <v>0.62780827956103313</v>
          </cell>
          <cell r="FY8">
            <v>0.40072868908151044</v>
          </cell>
          <cell r="FZ8">
            <v>0.4942363568976777</v>
          </cell>
          <cell r="GA8">
            <v>0.53661841030481183</v>
          </cell>
          <cell r="GB8">
            <v>0.45327972273475114</v>
          </cell>
          <cell r="GC8">
            <v>1.3604054090082225</v>
          </cell>
          <cell r="GD8">
            <v>1.1374923943467548</v>
          </cell>
          <cell r="GE8">
            <v>1.0853991967623342</v>
          </cell>
          <cell r="GF8">
            <v>4.2347252394387157E-2</v>
          </cell>
          <cell r="GG8">
            <v>4.84944667782157E-2</v>
          </cell>
          <cell r="GH8">
            <v>4.84944667782157E-2</v>
          </cell>
          <cell r="GI8">
            <v>4.84944667782157E-2</v>
          </cell>
          <cell r="GJ8">
            <v>0.93598136041701574</v>
          </cell>
          <cell r="GK8">
            <v>0.45850850160506706</v>
          </cell>
          <cell r="GL8">
            <v>0.32588128338627548</v>
          </cell>
          <cell r="GM8">
            <v>0.23368635199624324</v>
          </cell>
          <cell r="GN8">
            <v>0.92167598488747415</v>
          </cell>
          <cell r="GO8">
            <v>0.44080155798966153</v>
          </cell>
          <cell r="GP8">
            <v>0.30722532829582455</v>
          </cell>
          <cell r="GQ8">
            <v>0.21372196751013883</v>
          </cell>
        </row>
        <row r="9">
          <cell r="A9" t="str">
            <v>Variance</v>
          </cell>
          <cell r="B9">
            <v>0.4268120928379957</v>
          </cell>
          <cell r="C9">
            <v>0.25936249829345287</v>
          </cell>
          <cell r="D9">
            <v>0.23648182329302819</v>
          </cell>
          <cell r="E9">
            <v>3.1611053050748161</v>
          </cell>
          <cell r="F9">
            <v>8.5973056459815833</v>
          </cell>
          <cell r="G9">
            <v>0.68414953880609242</v>
          </cell>
          <cell r="H9">
            <v>6.8725297349039151E-3</v>
          </cell>
          <cell r="I9">
            <v>8.6683419909659529E-3</v>
          </cell>
          <cell r="J9">
            <v>1.2188607303957944E-2</v>
          </cell>
          <cell r="K9">
            <v>1.3101767482013055E-2</v>
          </cell>
          <cell r="L9">
            <v>4.5721885006666358</v>
          </cell>
          <cell r="M9">
            <v>2.3352822276274048</v>
          </cell>
          <cell r="N9">
            <v>1.1421736559683422</v>
          </cell>
          <cell r="O9">
            <v>0.85439613028260486</v>
          </cell>
          <cell r="P9">
            <v>4.4542289455150428</v>
          </cell>
          <cell r="Q9">
            <v>2.2381768904238379</v>
          </cell>
          <cell r="R9">
            <v>1.0578882958643929</v>
          </cell>
          <cell r="S9">
            <v>0.77722405410445183</v>
          </cell>
          <cell r="T9">
            <v>0.41342659849040103</v>
          </cell>
          <cell r="U9">
            <v>0.25618463024639077</v>
          </cell>
          <cell r="V9">
            <v>0.23510755802849273</v>
          </cell>
          <cell r="W9">
            <v>3.1791061225506363</v>
          </cell>
          <cell r="X9">
            <v>8.5248739327049119</v>
          </cell>
          <cell r="Y9">
            <v>0.66871056316591881</v>
          </cell>
          <cell r="Z9">
            <v>6.8725297349039151E-3</v>
          </cell>
          <cell r="AA9">
            <v>8.6683419909659529E-3</v>
          </cell>
          <cell r="AB9">
            <v>1.2188607303957944E-2</v>
          </cell>
          <cell r="AC9">
            <v>1.3101767482013055E-2</v>
          </cell>
          <cell r="AD9">
            <v>4.5721885006666358</v>
          </cell>
          <cell r="AE9">
            <v>2.3352822276274048</v>
          </cell>
          <cell r="AF9">
            <v>1.1421736559683422</v>
          </cell>
          <cell r="AG9">
            <v>0.85439613028260486</v>
          </cell>
          <cell r="AH9">
            <v>4.4542289455150428</v>
          </cell>
          <cell r="AI9">
            <v>2.2381768904238379</v>
          </cell>
          <cell r="AJ9">
            <v>1.0578882958643929</v>
          </cell>
          <cell r="AK9">
            <v>0.77722405410445183</v>
          </cell>
          <cell r="AL9">
            <v>68.616477355242125</v>
          </cell>
          <cell r="AM9">
            <v>0.17623086727344572</v>
          </cell>
          <cell r="AN9">
            <v>0.73318094730969063</v>
          </cell>
          <cell r="AO9">
            <v>0.40480265681050953</v>
          </cell>
          <cell r="AP9">
            <v>1.9920716041241935</v>
          </cell>
          <cell r="AQ9">
            <v>10.725486267623047</v>
          </cell>
          <cell r="AR9">
            <v>3.5021843737990242E-2</v>
          </cell>
          <cell r="AS9">
            <v>7.6049554692394605E-2</v>
          </cell>
          <cell r="AT9">
            <v>7.8107172410948625E-2</v>
          </cell>
          <cell r="AU9">
            <v>0.14101356995022657</v>
          </cell>
          <cell r="AV9">
            <v>285.30409108182789</v>
          </cell>
          <cell r="AW9">
            <v>19.564283690013291</v>
          </cell>
          <cell r="AX9">
            <v>18.991033085113369</v>
          </cell>
          <cell r="AY9">
            <v>13.612879531229932</v>
          </cell>
          <cell r="AZ9">
            <v>283.2692626942669</v>
          </cell>
          <cell r="BA9">
            <v>18.730457369988262</v>
          </cell>
          <cell r="BB9">
            <v>18.156817486162314</v>
          </cell>
          <cell r="BC9">
            <v>12.62471652254696</v>
          </cell>
          <cell r="BD9">
            <v>0</v>
          </cell>
          <cell r="BE9">
            <v>2.4265193463343189</v>
          </cell>
          <cell r="BF9" t="str">
            <v>---</v>
          </cell>
          <cell r="BG9">
            <v>0</v>
          </cell>
          <cell r="BH9">
            <v>0.3047487487487523</v>
          </cell>
          <cell r="BI9" t="str">
            <v>---</v>
          </cell>
          <cell r="BJ9">
            <v>5.1523654095385378</v>
          </cell>
          <cell r="BK9">
            <v>5.1523654095385378</v>
          </cell>
          <cell r="BL9">
            <v>3.2879416167202127</v>
          </cell>
          <cell r="BM9">
            <v>0</v>
          </cell>
          <cell r="BN9">
            <v>37.222649916730973</v>
          </cell>
          <cell r="BO9">
            <v>37.222649916730973</v>
          </cell>
          <cell r="BP9">
            <v>29.468428529102713</v>
          </cell>
          <cell r="BQ9">
            <v>0</v>
          </cell>
          <cell r="BR9">
            <v>24.3982108677186</v>
          </cell>
          <cell r="BS9">
            <v>24.376564313742314</v>
          </cell>
          <cell r="BT9">
            <v>20.575655319539809</v>
          </cell>
          <cell r="BU9">
            <v>0</v>
          </cell>
          <cell r="BV9">
            <v>12.720947620098352</v>
          </cell>
          <cell r="BW9">
            <v>5.7904547195868989</v>
          </cell>
          <cell r="BX9">
            <v>7.7769454956087865</v>
          </cell>
          <cell r="BY9">
            <v>1.7283353249367983</v>
          </cell>
          <cell r="BZ9">
            <v>0.59700076232576282</v>
          </cell>
          <cell r="CA9">
            <v>6.6782769708538385</v>
          </cell>
          <cell r="CB9">
            <v>1.0851293379568284E-2</v>
          </cell>
          <cell r="CC9">
            <v>1.6357076800522331E-2</v>
          </cell>
          <cell r="CD9">
            <v>1.6357076800522331E-2</v>
          </cell>
          <cell r="CE9">
            <v>4.0531146574814422E-2</v>
          </cell>
          <cell r="CF9">
            <v>78.40425510410229</v>
          </cell>
          <cell r="CG9">
            <v>31.27048292053157</v>
          </cell>
          <cell r="CH9">
            <v>18.279774797819972</v>
          </cell>
          <cell r="CI9">
            <v>9.3045103110888707</v>
          </cell>
          <cell r="CJ9">
            <v>77.852691665827464</v>
          </cell>
          <cell r="CK9">
            <v>30.83632175464686</v>
          </cell>
          <cell r="CL9">
            <v>17.944697605631077</v>
          </cell>
          <cell r="CM9">
            <v>8.910443955911644</v>
          </cell>
          <cell r="CN9">
            <v>4.1754500524934297</v>
          </cell>
          <cell r="CO9">
            <v>3.4424151191810108</v>
          </cell>
          <cell r="CP9">
            <v>0.5676885932689677</v>
          </cell>
          <cell r="CQ9">
            <v>0.79410830792097331</v>
          </cell>
          <cell r="CR9">
            <v>0.86261731709655054</v>
          </cell>
          <cell r="CS9">
            <v>0.57181744602307816</v>
          </cell>
          <cell r="CT9">
            <v>9.0770400603235274E-4</v>
          </cell>
          <cell r="CU9">
            <v>1.1903595326528908E-3</v>
          </cell>
          <cell r="CV9">
            <v>1.1903595326528908E-3</v>
          </cell>
          <cell r="CW9">
            <v>1.1903595326528908E-3</v>
          </cell>
          <cell r="CX9">
            <v>5.9575976774785211</v>
          </cell>
          <cell r="CY9">
            <v>0.92141149339363226</v>
          </cell>
          <cell r="CZ9">
            <v>0.40908619733613177</v>
          </cell>
          <cell r="DA9">
            <v>0.17055209832910351</v>
          </cell>
          <cell r="DB9">
            <v>5.9101858512754504</v>
          </cell>
          <cell r="DC9">
            <v>0.8994459267081123</v>
          </cell>
          <cell r="DD9">
            <v>0.39414323588538436</v>
          </cell>
          <cell r="DE9">
            <v>0.16058348225298588</v>
          </cell>
          <cell r="DF9">
            <v>81.578797114786127</v>
          </cell>
          <cell r="DG9">
            <v>0.21317220829491149</v>
          </cell>
          <cell r="DH9">
            <v>0.81879673987004775</v>
          </cell>
          <cell r="DI9">
            <v>0.39632420781464628</v>
          </cell>
          <cell r="DJ9">
            <v>1.9982210524630404</v>
          </cell>
          <cell r="DK9">
            <v>10.759403315762547</v>
          </cell>
          <cell r="DL9">
            <v>3.5021843737990242E-2</v>
          </cell>
          <cell r="DM9">
            <v>7.6049554692394605E-2</v>
          </cell>
          <cell r="DN9">
            <v>7.8107172410948625E-2</v>
          </cell>
          <cell r="DO9">
            <v>0.14101356995022657</v>
          </cell>
          <cell r="DP9">
            <v>285.30409108182789</v>
          </cell>
          <cell r="DQ9">
            <v>19.564283690013291</v>
          </cell>
          <cell r="DR9">
            <v>18.991033085113369</v>
          </cell>
          <cell r="DS9">
            <v>13.612879531229932</v>
          </cell>
          <cell r="DT9">
            <v>283.2692626942669</v>
          </cell>
          <cell r="DU9">
            <v>18.730457369988262</v>
          </cell>
          <cell r="DV9">
            <v>18.156817486162314</v>
          </cell>
          <cell r="DW9">
            <v>12.62471652254696</v>
          </cell>
          <cell r="DX9">
            <v>12859.68990993789</v>
          </cell>
          <cell r="DY9">
            <v>4677.6467291737381</v>
          </cell>
          <cell r="DZ9">
            <v>4708.5324792801639</v>
          </cell>
          <cell r="EA9">
            <v>0.96015615615614169</v>
          </cell>
          <cell r="EB9">
            <v>7.5839565901577703</v>
          </cell>
          <cell r="EC9">
            <v>26.644752307300909</v>
          </cell>
          <cell r="ED9">
            <v>4.1663756760694897</v>
          </cell>
          <cell r="EE9">
            <v>0.35453664767126114</v>
          </cell>
          <cell r="EF9">
            <v>0.42059111081516276</v>
          </cell>
          <cell r="EG9">
            <v>0.56107905660519286</v>
          </cell>
          <cell r="EH9">
            <v>1537.4041770327408</v>
          </cell>
          <cell r="EI9">
            <v>221.33514355784979</v>
          </cell>
          <cell r="EJ9">
            <v>151.55863526069183</v>
          </cell>
          <cell r="EK9">
            <v>119.71374883799999</v>
          </cell>
          <cell r="EL9">
            <v>1489.4018223962544</v>
          </cell>
          <cell r="EM9">
            <v>216.10966203279722</v>
          </cell>
          <cell r="EN9">
            <v>146.76596239840919</v>
          </cell>
          <cell r="EO9">
            <v>114.68873373698189</v>
          </cell>
          <cell r="EP9">
            <v>12.213612069276719</v>
          </cell>
          <cell r="EQ9">
            <v>5.6709540883440246</v>
          </cell>
          <cell r="ER9">
            <v>7.4641266136887232</v>
          </cell>
          <cell r="ES9">
            <v>1.779948374876364</v>
          </cell>
          <cell r="ET9">
            <v>0.59831567074813252</v>
          </cell>
          <cell r="EU9">
            <v>5.8829562221823659</v>
          </cell>
          <cell r="EV9">
            <v>1.0851293379568284E-2</v>
          </cell>
          <cell r="EW9">
            <v>1.6357076800522331E-2</v>
          </cell>
          <cell r="EX9">
            <v>1.6357076800522331E-2</v>
          </cell>
          <cell r="EY9">
            <v>4.0531146574814422E-2</v>
          </cell>
          <cell r="EZ9">
            <v>78.40425510410229</v>
          </cell>
          <cell r="FA9">
            <v>31.27048292053157</v>
          </cell>
          <cell r="FB9">
            <v>18.279774797819972</v>
          </cell>
          <cell r="FC9">
            <v>9.3045103110888707</v>
          </cell>
          <cell r="FD9">
            <v>77.796435161343965</v>
          </cell>
          <cell r="FE9">
            <v>30.814039369337806</v>
          </cell>
          <cell r="FF9">
            <v>17.931730732685459</v>
          </cell>
          <cell r="FG9">
            <v>8.9040052520000543</v>
          </cell>
          <cell r="FH9">
            <v>4.1062910789140394</v>
          </cell>
          <cell r="FI9">
            <v>3.3903654075864065</v>
          </cell>
          <cell r="FJ9">
            <v>0.55845359070366307</v>
          </cell>
          <cell r="FK9">
            <v>0.79651889916194418</v>
          </cell>
          <cell r="FL9">
            <v>0.8637497085564334</v>
          </cell>
          <cell r="FM9">
            <v>0.57188762741575694</v>
          </cell>
          <cell r="FN9">
            <v>9.0770400603235274E-4</v>
          </cell>
          <cell r="FO9">
            <v>1.1903595326528908E-3</v>
          </cell>
          <cell r="FP9">
            <v>1.1903595326528908E-3</v>
          </cell>
          <cell r="FQ9">
            <v>1.1903595326528908E-3</v>
          </cell>
          <cell r="FR9">
            <v>5.9575976774785211</v>
          </cell>
          <cell r="FS9">
            <v>0.92141149339363226</v>
          </cell>
          <cell r="FT9">
            <v>0.40908619733613177</v>
          </cell>
          <cell r="FU9">
            <v>0.17055209832910351</v>
          </cell>
          <cell r="FV9">
            <v>5.9101858512754504</v>
          </cell>
          <cell r="FW9">
            <v>0.8994459267081123</v>
          </cell>
          <cell r="FX9">
            <v>0.39414323588538436</v>
          </cell>
          <cell r="FY9">
            <v>0.16058348225298588</v>
          </cell>
          <cell r="FZ9">
            <v>0.24426957647948866</v>
          </cell>
          <cell r="GA9">
            <v>0.28795931827806337</v>
          </cell>
          <cell r="GB9">
            <v>0.20546250704249286</v>
          </cell>
          <cell r="GC9">
            <v>1.8507028768588292</v>
          </cell>
          <cell r="GD9">
            <v>1.293888947196713</v>
          </cell>
          <cell r="GE9">
            <v>1.1780914163323204</v>
          </cell>
          <cell r="GF9">
            <v>1.7932897853539288E-3</v>
          </cell>
          <cell r="GG9">
            <v>2.3517133081034664E-3</v>
          </cell>
          <cell r="GH9">
            <v>2.3517133081034664E-3</v>
          </cell>
          <cell r="GI9">
            <v>2.3517133081034664E-3</v>
          </cell>
          <cell r="GJ9">
            <v>0.8760611070480876</v>
          </cell>
          <cell r="GK9">
            <v>0.21023004604412376</v>
          </cell>
          <cell r="GL9">
            <v>0.10619861086148598</v>
          </cell>
          <cell r="GM9">
            <v>5.4609311109312095E-2</v>
          </cell>
          <cell r="GN9">
            <v>0.84948662111829543</v>
          </cell>
          <cell r="GO9">
            <v>0.19430601352611296</v>
          </cell>
          <cell r="GP9">
            <v>9.4387402346477189E-2</v>
          </cell>
          <cell r="GQ9">
            <v>4.5677079396404842E-2</v>
          </cell>
        </row>
        <row r="10">
          <cell r="A10" t="str">
            <v>Skewness</v>
          </cell>
          <cell r="B10">
            <v>2.0262148984019723</v>
          </cell>
          <cell r="C10">
            <v>1.6316652184328413</v>
          </cell>
          <cell r="D10">
            <v>1.5102674799612661</v>
          </cell>
          <cell r="E10">
            <v>1.2001089931248665</v>
          </cell>
          <cell r="F10">
            <v>-0.9063324867963275</v>
          </cell>
          <cell r="G10">
            <v>-0.37016362676672293</v>
          </cell>
          <cell r="H10">
            <v>0.39564000588873044</v>
          </cell>
          <cell r="I10">
            <v>0.39564000588733977</v>
          </cell>
          <cell r="J10">
            <v>0.39564000588837284</v>
          </cell>
          <cell r="K10">
            <v>0.39564000588906489</v>
          </cell>
          <cell r="L10">
            <v>0.99197328898723425</v>
          </cell>
          <cell r="M10">
            <v>0.99367308030139767</v>
          </cell>
          <cell r="N10">
            <v>0.99729903609332315</v>
          </cell>
          <cell r="O10">
            <v>0.99919919525254974</v>
          </cell>
          <cell r="P10">
            <v>0.98938495073172428</v>
          </cell>
          <cell r="Q10">
            <v>0.9893849507317386</v>
          </cell>
          <cell r="R10">
            <v>0.98938495073171462</v>
          </cell>
          <cell r="S10">
            <v>0.98938495073172594</v>
          </cell>
          <cell r="T10">
            <v>1.9904763984253637</v>
          </cell>
          <cell r="U10">
            <v>1.5260730645249942</v>
          </cell>
          <cell r="V10">
            <v>1.4332424999296189</v>
          </cell>
          <cell r="W10">
            <v>1.201558196802726</v>
          </cell>
          <cell r="X10">
            <v>-0.90706700431713982</v>
          </cell>
          <cell r="Y10">
            <v>-0.35112547556932089</v>
          </cell>
          <cell r="Z10">
            <v>0.39564000588873044</v>
          </cell>
          <cell r="AA10">
            <v>0.39564000588733977</v>
          </cell>
          <cell r="AB10">
            <v>0.39564000588837284</v>
          </cell>
          <cell r="AC10">
            <v>0.39564000588906489</v>
          </cell>
          <cell r="AD10">
            <v>0.99197328898723425</v>
          </cell>
          <cell r="AE10">
            <v>0.99367308030139767</v>
          </cell>
          <cell r="AF10">
            <v>0.99729903609332315</v>
          </cell>
          <cell r="AG10">
            <v>0.99919919525254974</v>
          </cell>
          <cell r="AH10">
            <v>0.98938495073172428</v>
          </cell>
          <cell r="AI10">
            <v>0.9893849507317386</v>
          </cell>
          <cell r="AJ10">
            <v>0.98938495073171462</v>
          </cell>
          <cell r="AK10">
            <v>0.98938495073172594</v>
          </cell>
          <cell r="AL10">
            <v>4.6329432326879321</v>
          </cell>
          <cell r="AM10">
            <v>4.5639224623474552</v>
          </cell>
          <cell r="AN10">
            <v>1.2311737629326724</v>
          </cell>
          <cell r="AO10">
            <v>4.1454877547327209</v>
          </cell>
          <cell r="AP10">
            <v>-0.47897227247668434</v>
          </cell>
          <cell r="AQ10">
            <v>-0.47873281651346999</v>
          </cell>
          <cell r="AR10">
            <v>0.39564000588786091</v>
          </cell>
          <cell r="AS10">
            <v>0.3956400058904056</v>
          </cell>
          <cell r="AT10">
            <v>0.395640005889768</v>
          </cell>
          <cell r="AU10">
            <v>0.39564000588966908</v>
          </cell>
          <cell r="AV10">
            <v>0.99007109712873453</v>
          </cell>
          <cell r="AW10">
            <v>0.99378713483314551</v>
          </cell>
          <cell r="AX10">
            <v>0.99393109141998659</v>
          </cell>
          <cell r="AY10">
            <v>0.99716125013357548</v>
          </cell>
          <cell r="AZ10">
            <v>0.98938495073173061</v>
          </cell>
          <cell r="BA10">
            <v>0.98938495073172572</v>
          </cell>
          <cell r="BB10">
            <v>0.98938495073174204</v>
          </cell>
          <cell r="BC10">
            <v>0.98938495073173438</v>
          </cell>
          <cell r="BD10" t="str">
            <v>---</v>
          </cell>
          <cell r="BE10">
            <v>-1.8841668920677284</v>
          </cell>
          <cell r="BF10" t="str">
            <v>---</v>
          </cell>
          <cell r="BG10" t="str">
            <v>---</v>
          </cell>
          <cell r="BH10">
            <v>-3.0184957516980502</v>
          </cell>
          <cell r="BI10" t="str">
            <v>---</v>
          </cell>
          <cell r="BJ10">
            <v>1.7554502930359897</v>
          </cell>
          <cell r="BK10">
            <v>1.7554502930359897</v>
          </cell>
          <cell r="BL10">
            <v>1.7554502930359814</v>
          </cell>
          <cell r="BM10" t="str">
            <v>---</v>
          </cell>
          <cell r="BN10">
            <v>1.7706298996615055</v>
          </cell>
          <cell r="BO10">
            <v>1.7706298996615055</v>
          </cell>
          <cell r="BP10">
            <v>1.7097334944356275</v>
          </cell>
          <cell r="BQ10" t="str">
            <v>---</v>
          </cell>
          <cell r="BR10">
            <v>1.4031300574403229</v>
          </cell>
          <cell r="BS10">
            <v>1.4080478818637789</v>
          </cell>
          <cell r="BT10">
            <v>1.3802629392661963</v>
          </cell>
          <cell r="BU10" t="str">
            <v>---</v>
          </cell>
          <cell r="BV10">
            <v>2.2787005782698206</v>
          </cell>
          <cell r="BW10">
            <v>-0.20068616959481833</v>
          </cell>
          <cell r="BX10">
            <v>0.61891401619743114</v>
          </cell>
          <cell r="BY10">
            <v>1.7949806394820282</v>
          </cell>
          <cell r="BZ10">
            <v>-1.7077617313557969</v>
          </cell>
          <cell r="CA10">
            <v>1.0844963111837429</v>
          </cell>
          <cell r="CB10">
            <v>0.39564000588771775</v>
          </cell>
          <cell r="CC10">
            <v>0.39564000588852066</v>
          </cell>
          <cell r="CD10">
            <v>0.39564000588852066</v>
          </cell>
          <cell r="CE10">
            <v>0.39564000588964937</v>
          </cell>
          <cell r="CF10">
            <v>0.91654531740995138</v>
          </cell>
          <cell r="CG10">
            <v>0.9183215662062798</v>
          </cell>
          <cell r="CH10">
            <v>0.91946365880105474</v>
          </cell>
          <cell r="CI10">
            <v>0.92548835369058757</v>
          </cell>
          <cell r="CJ10">
            <v>0.91469885859413391</v>
          </cell>
          <cell r="CK10">
            <v>0.91469885859414324</v>
          </cell>
          <cell r="CL10">
            <v>0.91469885859414868</v>
          </cell>
          <cell r="CM10">
            <v>0.91469885859414168</v>
          </cell>
          <cell r="CN10">
            <v>2.1789021874425454</v>
          </cell>
          <cell r="CO10">
            <v>2.0493893761380169</v>
          </cell>
          <cell r="CP10">
            <v>1.2858496834797914</v>
          </cell>
          <cell r="CQ10">
            <v>1.7590904589064722</v>
          </cell>
          <cell r="CR10">
            <v>1.1633148105051498</v>
          </cell>
          <cell r="CS10">
            <v>-1.7513302115134048</v>
          </cell>
          <cell r="CT10">
            <v>0.39564000589041376</v>
          </cell>
          <cell r="CU10">
            <v>0.39564000589041604</v>
          </cell>
          <cell r="CV10">
            <v>0.39564000589041604</v>
          </cell>
          <cell r="CW10">
            <v>0.39564000589041604</v>
          </cell>
          <cell r="CX10">
            <v>0.9901521864365439</v>
          </cell>
          <cell r="CY10">
            <v>0.99176734403030109</v>
          </cell>
          <cell r="CZ10">
            <v>0.99312138224100988</v>
          </cell>
          <cell r="DA10">
            <v>0.99555287687866523</v>
          </cell>
          <cell r="DB10">
            <v>0.9893849507317326</v>
          </cell>
          <cell r="DC10">
            <v>0.98938495073171251</v>
          </cell>
          <cell r="DD10">
            <v>0.98938495073172161</v>
          </cell>
          <cell r="DE10">
            <v>0.98938495073171839</v>
          </cell>
          <cell r="DF10">
            <v>4.9273337955885435</v>
          </cell>
          <cell r="DG10">
            <v>4.9304244996825703</v>
          </cell>
          <cell r="DH10">
            <v>1.7295743405709914</v>
          </cell>
          <cell r="DI10">
            <v>4.1494852605284231</v>
          </cell>
          <cell r="DJ10">
            <v>-0.47877378033988693</v>
          </cell>
          <cell r="DK10">
            <v>-0.47855523157350321</v>
          </cell>
          <cell r="DL10">
            <v>0.39564000588786091</v>
          </cell>
          <cell r="DM10">
            <v>0.3956400058904056</v>
          </cell>
          <cell r="DN10">
            <v>0.395640005889768</v>
          </cell>
          <cell r="DO10">
            <v>0.39564000588966908</v>
          </cell>
          <cell r="DP10">
            <v>0.99007109712873453</v>
          </cell>
          <cell r="DQ10">
            <v>0.99378713483314551</v>
          </cell>
          <cell r="DR10">
            <v>0.99393109141998659</v>
          </cell>
          <cell r="DS10">
            <v>0.99716125013357548</v>
          </cell>
          <cell r="DT10">
            <v>0.98938495073173061</v>
          </cell>
          <cell r="DU10">
            <v>0.98938495073172572</v>
          </cell>
          <cell r="DV10">
            <v>0.98938495073174204</v>
          </cell>
          <cell r="DW10">
            <v>0.98938495073173438</v>
          </cell>
          <cell r="DX10">
            <v>-0.32359269286707254</v>
          </cell>
          <cell r="DY10">
            <v>-0.29222422778953633</v>
          </cell>
          <cell r="DZ10">
            <v>-0.27500151620261076</v>
          </cell>
          <cell r="EA10">
            <v>-0.41188494480638804</v>
          </cell>
          <cell r="EB10">
            <v>0.58550334850895824</v>
          </cell>
          <cell r="EC10">
            <v>0.58550334850894714</v>
          </cell>
          <cell r="ED10">
            <v>0.39564000588801046</v>
          </cell>
          <cell r="EE10">
            <v>0.39564000589005965</v>
          </cell>
          <cell r="EF10">
            <v>0.39564000588958131</v>
          </cell>
          <cell r="EG10">
            <v>0.39564000588716597</v>
          </cell>
          <cell r="EH10">
            <v>0.87921996664778246</v>
          </cell>
          <cell r="EI10">
            <v>0.87660768251986632</v>
          </cell>
          <cell r="EJ10">
            <v>0.87935546199884052</v>
          </cell>
          <cell r="EK10">
            <v>0.8828131245711528</v>
          </cell>
          <cell r="EL10">
            <v>0.86810273954921247</v>
          </cell>
          <cell r="EM10">
            <v>0.86810273954920303</v>
          </cell>
          <cell r="EN10">
            <v>0.86810273954920369</v>
          </cell>
          <cell r="EO10">
            <v>0.86810273954917772</v>
          </cell>
          <cell r="EP10">
            <v>2.3176525952382598</v>
          </cell>
          <cell r="EQ10">
            <v>-0.19252637314938709</v>
          </cell>
          <cell r="ER10">
            <v>0.70264936773896636</v>
          </cell>
          <cell r="ES10">
            <v>1.7869758612598781</v>
          </cell>
          <cell r="ET10">
            <v>-1.7048520898557811</v>
          </cell>
          <cell r="EU10">
            <v>1.0320327820426041</v>
          </cell>
          <cell r="EV10">
            <v>0.39564000588771775</v>
          </cell>
          <cell r="EW10">
            <v>0.39564000588852066</v>
          </cell>
          <cell r="EX10">
            <v>0.39564000588852066</v>
          </cell>
          <cell r="EY10">
            <v>0.39564000588964937</v>
          </cell>
          <cell r="EZ10">
            <v>0.91654531740995138</v>
          </cell>
          <cell r="FA10">
            <v>0.9183215662062798</v>
          </cell>
          <cell r="FB10">
            <v>0.91946365880105474</v>
          </cell>
          <cell r="FC10">
            <v>0.92548835369058757</v>
          </cell>
          <cell r="FD10">
            <v>0.91838904540540689</v>
          </cell>
          <cell r="FE10">
            <v>0.91838904540541522</v>
          </cell>
          <cell r="FF10">
            <v>0.91838904540542055</v>
          </cell>
          <cell r="FG10">
            <v>0.91838904540541433</v>
          </cell>
          <cell r="FH10">
            <v>2.205891834037359</v>
          </cell>
          <cell r="FI10">
            <v>2.0727004489275895</v>
          </cell>
          <cell r="FJ10">
            <v>1.3189130422487563</v>
          </cell>
          <cell r="FK10">
            <v>1.7594719354667929</v>
          </cell>
          <cell r="FL10">
            <v>1.163576074835637</v>
          </cell>
          <cell r="FM10">
            <v>-1.7512622782433191</v>
          </cell>
          <cell r="FN10">
            <v>0.39564000589041376</v>
          </cell>
          <cell r="FO10">
            <v>0.39564000589041604</v>
          </cell>
          <cell r="FP10">
            <v>0.39564000589041604</v>
          </cell>
          <cell r="FQ10">
            <v>0.39564000589041604</v>
          </cell>
          <cell r="FR10">
            <v>0.9901521864365439</v>
          </cell>
          <cell r="FS10">
            <v>0.99176734403030109</v>
          </cell>
          <cell r="FT10">
            <v>0.99312138224100988</v>
          </cell>
          <cell r="FU10">
            <v>0.99555287687866523</v>
          </cell>
          <cell r="FV10">
            <v>0.9893849507317326</v>
          </cell>
          <cell r="FW10">
            <v>0.98938495073171251</v>
          </cell>
          <cell r="FX10">
            <v>0.98938495073172161</v>
          </cell>
          <cell r="FY10">
            <v>0.98938495073171839</v>
          </cell>
          <cell r="FZ10">
            <v>2.3892296372226438</v>
          </cell>
          <cell r="GA10">
            <v>2.029582696868709</v>
          </cell>
          <cell r="GB10">
            <v>1.6414395165294473</v>
          </cell>
          <cell r="GC10">
            <v>1.790326196805659</v>
          </cell>
          <cell r="GD10">
            <v>1.2635765216403538</v>
          </cell>
          <cell r="GE10">
            <v>0.37925252624934358</v>
          </cell>
          <cell r="GF10">
            <v>0.39564000588894882</v>
          </cell>
          <cell r="GG10">
            <v>0.39564000589075748</v>
          </cell>
          <cell r="GH10">
            <v>0.39564000589075748</v>
          </cell>
          <cell r="GI10">
            <v>0.39564000589075748</v>
          </cell>
          <cell r="GJ10">
            <v>0.99245443395920252</v>
          </cell>
          <cell r="GK10">
            <v>0.99752272729526115</v>
          </cell>
          <cell r="GL10">
            <v>1.0016024985579508</v>
          </cell>
          <cell r="GM10">
            <v>1.0074377606758638</v>
          </cell>
          <cell r="GN10">
            <v>0.98938495073173494</v>
          </cell>
          <cell r="GO10">
            <v>0.98938495073172594</v>
          </cell>
          <cell r="GP10">
            <v>0.98938495073171795</v>
          </cell>
          <cell r="GQ10">
            <v>0.98938495073171517</v>
          </cell>
        </row>
        <row r="11">
          <cell r="A11" t="str">
            <v>Kurtosis</v>
          </cell>
          <cell r="B11">
            <v>6.464460530079295</v>
          </cell>
          <cell r="C11">
            <v>6.3940249100191719</v>
          </cell>
          <cell r="D11">
            <v>5.9273883281761739</v>
          </cell>
          <cell r="E11">
            <v>2.5064626321756402</v>
          </cell>
          <cell r="F11">
            <v>2.1208552843638193</v>
          </cell>
          <cell r="G11">
            <v>2.1315103268869899</v>
          </cell>
          <cell r="H11">
            <v>2.423852240982971</v>
          </cell>
          <cell r="I11">
            <v>2.4238522409821872</v>
          </cell>
          <cell r="J11">
            <v>2.4238522409827179</v>
          </cell>
          <cell r="K11">
            <v>2.4238522409831251</v>
          </cell>
          <cell r="L11">
            <v>3.342361246218029</v>
          </cell>
          <cell r="M11">
            <v>3.3260646888686844</v>
          </cell>
          <cell r="N11">
            <v>3.3001489888808737</v>
          </cell>
          <cell r="O11">
            <v>3.289891153659696</v>
          </cell>
          <cell r="P11">
            <v>3.3757623605941784</v>
          </cell>
          <cell r="Q11">
            <v>3.375762360594198</v>
          </cell>
          <cell r="R11">
            <v>3.3757623605941616</v>
          </cell>
          <cell r="S11">
            <v>3.375762360594178</v>
          </cell>
          <cell r="T11">
            <v>6.2507076342086858</v>
          </cell>
          <cell r="U11">
            <v>5.7098922817306512</v>
          </cell>
          <cell r="V11">
            <v>5.3235616137324397</v>
          </cell>
          <cell r="W11">
            <v>2.5105316875413957</v>
          </cell>
          <cell r="X11">
            <v>2.1303697809973632</v>
          </cell>
          <cell r="Y11">
            <v>2.1634157736334001</v>
          </cell>
          <cell r="Z11">
            <v>2.423852240982971</v>
          </cell>
          <cell r="AA11">
            <v>2.4238522409821872</v>
          </cell>
          <cell r="AB11">
            <v>2.4238522409827179</v>
          </cell>
          <cell r="AC11">
            <v>2.4238522409831251</v>
          </cell>
          <cell r="AD11">
            <v>3.342361246218029</v>
          </cell>
          <cell r="AE11">
            <v>3.3260646888686844</v>
          </cell>
          <cell r="AF11">
            <v>3.3001489888808737</v>
          </cell>
          <cell r="AG11">
            <v>3.289891153659696</v>
          </cell>
          <cell r="AH11">
            <v>3.3757623605941784</v>
          </cell>
          <cell r="AI11">
            <v>3.375762360594198</v>
          </cell>
          <cell r="AJ11">
            <v>3.3757623605941616</v>
          </cell>
          <cell r="AK11">
            <v>3.375762360594178</v>
          </cell>
          <cell r="AL11">
            <v>24.233657104187881</v>
          </cell>
          <cell r="AM11">
            <v>24.44016038063052</v>
          </cell>
          <cell r="AN11">
            <v>4.781799343989559</v>
          </cell>
          <cell r="AO11">
            <v>18.266213968462594</v>
          </cell>
          <cell r="AP11">
            <v>2.1271960467097539</v>
          </cell>
          <cell r="AQ11">
            <v>2.126966501395033</v>
          </cell>
          <cell r="AR11">
            <v>2.4238522409824328</v>
          </cell>
          <cell r="AS11">
            <v>2.4238522409838374</v>
          </cell>
          <cell r="AT11">
            <v>2.4238522409834764</v>
          </cell>
          <cell r="AU11">
            <v>2.4238522409834204</v>
          </cell>
          <cell r="AV11">
            <v>3.3655645646293282</v>
          </cell>
          <cell r="AW11">
            <v>3.3250854688934166</v>
          </cell>
          <cell r="AX11">
            <v>3.3238676311085902</v>
          </cell>
          <cell r="AY11">
            <v>3.3009678459480076</v>
          </cell>
          <cell r="AZ11">
            <v>3.3757623605941873</v>
          </cell>
          <cell r="BA11">
            <v>3.3757623605941802</v>
          </cell>
          <cell r="BB11">
            <v>3.3757623605942055</v>
          </cell>
          <cell r="BC11">
            <v>3.3757623605941913</v>
          </cell>
          <cell r="BD11" t="str">
            <v>---</v>
          </cell>
          <cell r="BE11">
            <v>7.2161081469841442</v>
          </cell>
          <cell r="BF11" t="str">
            <v>---</v>
          </cell>
          <cell r="BG11" t="str">
            <v>---</v>
          </cell>
          <cell r="BH11">
            <v>10.118438040060159</v>
          </cell>
          <cell r="BI11" t="str">
            <v>---</v>
          </cell>
          <cell r="BJ11">
            <v>5.3903952465829068</v>
          </cell>
          <cell r="BK11">
            <v>5.3903952465829068</v>
          </cell>
          <cell r="BL11">
            <v>5.3903952465828766</v>
          </cell>
          <cell r="BM11" t="str">
            <v>---</v>
          </cell>
          <cell r="BN11">
            <v>6.5531668785197406</v>
          </cell>
          <cell r="BO11">
            <v>6.5531668785197406</v>
          </cell>
          <cell r="BP11">
            <v>6.334609440355802</v>
          </cell>
          <cell r="BQ11" t="str">
            <v>---</v>
          </cell>
          <cell r="BR11">
            <v>5.4511220927635415</v>
          </cell>
          <cell r="BS11">
            <v>5.4675323847341319</v>
          </cell>
          <cell r="BT11">
            <v>5.3055836344006355</v>
          </cell>
          <cell r="BU11" t="str">
            <v>---</v>
          </cell>
          <cell r="BV11">
            <v>7.1972591350860826</v>
          </cell>
          <cell r="BW11">
            <v>2.9608576005244962</v>
          </cell>
          <cell r="BX11">
            <v>3.2225163021769401</v>
          </cell>
          <cell r="BY11">
            <v>4.2749358328345171</v>
          </cell>
          <cell r="BZ11">
            <v>4.0060376804429341</v>
          </cell>
          <cell r="CA11">
            <v>3.9732577107786464</v>
          </cell>
          <cell r="CB11">
            <v>2.4238522409823418</v>
          </cell>
          <cell r="CC11">
            <v>2.4238522409828098</v>
          </cell>
          <cell r="CD11">
            <v>2.4238522409828098</v>
          </cell>
          <cell r="CE11">
            <v>2.4238522409833854</v>
          </cell>
          <cell r="CF11">
            <v>3.4944336983640882</v>
          </cell>
          <cell r="CG11">
            <v>3.4885836024998196</v>
          </cell>
          <cell r="CH11">
            <v>3.4850401579703942</v>
          </cell>
          <cell r="CI11">
            <v>3.4687945312277342</v>
          </cell>
          <cell r="CJ11">
            <v>3.5009892426026465</v>
          </cell>
          <cell r="CK11">
            <v>3.5009892426026532</v>
          </cell>
          <cell r="CL11">
            <v>3.5009892426026687</v>
          </cell>
          <cell r="CM11">
            <v>3.5009892426026514</v>
          </cell>
          <cell r="CN11">
            <v>6.6609146230023484</v>
          </cell>
          <cell r="CO11">
            <v>6.2519903823264844</v>
          </cell>
          <cell r="CP11">
            <v>5.4422524719483345</v>
          </cell>
          <cell r="CQ11">
            <v>4.1035900751344885</v>
          </cell>
          <cell r="CR11">
            <v>2.3679929375660267</v>
          </cell>
          <cell r="CS11">
            <v>4.0738005450986794</v>
          </cell>
          <cell r="CT11">
            <v>2.4238522409838481</v>
          </cell>
          <cell r="CU11">
            <v>2.4238522409838126</v>
          </cell>
          <cell r="CV11">
            <v>2.4238522409838126</v>
          </cell>
          <cell r="CW11">
            <v>2.4238522409838126</v>
          </cell>
          <cell r="CX11">
            <v>3.3644347235709349</v>
          </cell>
          <cell r="CY11">
            <v>3.3445836486820752</v>
          </cell>
          <cell r="CZ11">
            <v>3.3309893613330286</v>
          </cell>
          <cell r="DA11">
            <v>3.3114059445603314</v>
          </cell>
          <cell r="DB11">
            <v>3.3757623605941869</v>
          </cell>
          <cell r="DC11">
            <v>3.3757623605941647</v>
          </cell>
          <cell r="DD11">
            <v>3.3757623605941731</v>
          </cell>
          <cell r="DE11">
            <v>3.3757623605941682</v>
          </cell>
          <cell r="DF11">
            <v>28.291316057997626</v>
          </cell>
          <cell r="DG11">
            <v>29.295593017004641</v>
          </cell>
          <cell r="DH11">
            <v>8.3389186464156708</v>
          </cell>
          <cell r="DI11">
            <v>18.310298250287868</v>
          </cell>
          <cell r="DJ11">
            <v>2.1347070417883214</v>
          </cell>
          <cell r="DK11">
            <v>2.1346647238442862</v>
          </cell>
          <cell r="DL11">
            <v>2.4238522409824328</v>
          </cell>
          <cell r="DM11">
            <v>2.4238522409838374</v>
          </cell>
          <cell r="DN11">
            <v>2.4238522409834764</v>
          </cell>
          <cell r="DO11">
            <v>2.4238522409834204</v>
          </cell>
          <cell r="DP11">
            <v>3.3655645646293282</v>
          </cell>
          <cell r="DQ11">
            <v>3.3250854688934166</v>
          </cell>
          <cell r="DR11">
            <v>3.3238676311085902</v>
          </cell>
          <cell r="DS11">
            <v>3.3009678459480076</v>
          </cell>
          <cell r="DT11">
            <v>3.3757623605941873</v>
          </cell>
          <cell r="DU11">
            <v>3.3757623605941802</v>
          </cell>
          <cell r="DV11">
            <v>3.3757623605942055</v>
          </cell>
          <cell r="DW11">
            <v>3.3757623605941913</v>
          </cell>
          <cell r="DX11">
            <v>1.2330246734849633</v>
          </cell>
          <cell r="DY11">
            <v>1.2656061243748413</v>
          </cell>
          <cell r="DZ11">
            <v>1.288222025265259</v>
          </cell>
          <cell r="EA11">
            <v>1.1678200267849441</v>
          </cell>
          <cell r="EB11">
            <v>1.5179882638053308</v>
          </cell>
          <cell r="EC11">
            <v>1.5179882638052999</v>
          </cell>
          <cell r="ED11">
            <v>2.4238522409825349</v>
          </cell>
          <cell r="EE11">
            <v>2.4238522409836554</v>
          </cell>
          <cell r="EF11">
            <v>2.4238522409833605</v>
          </cell>
          <cell r="EG11">
            <v>2.4238522409821353</v>
          </cell>
          <cell r="EH11">
            <v>3.5186614350784278</v>
          </cell>
          <cell r="EI11">
            <v>3.5214319492489099</v>
          </cell>
          <cell r="EJ11">
            <v>3.5185246672700621</v>
          </cell>
          <cell r="EK11">
            <v>3.515248423521935</v>
          </cell>
          <cell r="EL11">
            <v>3.5324747655139155</v>
          </cell>
          <cell r="EM11">
            <v>3.5324747655139017</v>
          </cell>
          <cell r="EN11">
            <v>3.5324747655138991</v>
          </cell>
          <cell r="EO11">
            <v>3.5324747655138626</v>
          </cell>
          <cell r="EP11">
            <v>7.725429222695638</v>
          </cell>
          <cell r="EQ11">
            <v>3.1434360310234379</v>
          </cell>
          <cell r="ER11">
            <v>3.6006802828907372</v>
          </cell>
          <cell r="ES11">
            <v>4.2476051421566066</v>
          </cell>
          <cell r="ET11">
            <v>4.0017078596197697</v>
          </cell>
          <cell r="EU11">
            <v>4.1675068591818025</v>
          </cell>
          <cell r="EV11">
            <v>2.4238522409823418</v>
          </cell>
          <cell r="EW11">
            <v>2.4238522409828098</v>
          </cell>
          <cell r="EX11">
            <v>2.4238522409828098</v>
          </cell>
          <cell r="EY11">
            <v>2.4238522409833854</v>
          </cell>
          <cell r="EZ11">
            <v>3.4944336983640882</v>
          </cell>
          <cell r="FA11">
            <v>3.4885836024998196</v>
          </cell>
          <cell r="FB11">
            <v>3.4850401579703942</v>
          </cell>
          <cell r="FC11">
            <v>3.4687945312277342</v>
          </cell>
          <cell r="FD11">
            <v>3.5096132903387316</v>
          </cell>
          <cell r="FE11">
            <v>3.5096132903387396</v>
          </cell>
          <cell r="FF11">
            <v>3.5096132903387476</v>
          </cell>
          <cell r="FG11">
            <v>3.5096132903387445</v>
          </cell>
          <cell r="FH11">
            <v>6.8073854761593582</v>
          </cell>
          <cell r="FI11">
            <v>6.3754006371882097</v>
          </cell>
          <cell r="FJ11">
            <v>5.5847341964903192</v>
          </cell>
          <cell r="FK11">
            <v>4.1056178820401144</v>
          </cell>
          <cell r="FL11">
            <v>2.3690020854958371</v>
          </cell>
          <cell r="FM11">
            <v>4.0736879445640888</v>
          </cell>
          <cell r="FN11">
            <v>2.4238522409838481</v>
          </cell>
          <cell r="FO11">
            <v>2.4238522409838126</v>
          </cell>
          <cell r="FP11">
            <v>2.4238522409838126</v>
          </cell>
          <cell r="FQ11">
            <v>2.4238522409838126</v>
          </cell>
          <cell r="FR11">
            <v>3.3644347235709349</v>
          </cell>
          <cell r="FS11">
            <v>3.3445836486820752</v>
          </cell>
          <cell r="FT11">
            <v>3.3309893613330286</v>
          </cell>
          <cell r="FU11">
            <v>3.3114059445603314</v>
          </cell>
          <cell r="FV11">
            <v>3.3757623605941869</v>
          </cell>
          <cell r="FW11">
            <v>3.3757623605941647</v>
          </cell>
          <cell r="FX11">
            <v>3.3757623605941731</v>
          </cell>
          <cell r="FY11">
            <v>3.3757623605941682</v>
          </cell>
          <cell r="FZ11">
            <v>8.0712938162263832</v>
          </cell>
          <cell r="GA11">
            <v>6.4155750062864048</v>
          </cell>
          <cell r="GB11">
            <v>5.2213360903477781</v>
          </cell>
          <cell r="GC11">
            <v>4.2652735926645615</v>
          </cell>
          <cell r="GD11">
            <v>2.7356062634295797</v>
          </cell>
          <cell r="GE11">
            <v>1.2192405402208506</v>
          </cell>
          <cell r="GF11">
            <v>2.4238522409830847</v>
          </cell>
          <cell r="GG11">
            <v>2.423852240984036</v>
          </cell>
          <cell r="GH11">
            <v>2.423852240984036</v>
          </cell>
          <cell r="GI11">
            <v>2.423852240984036</v>
          </cell>
          <cell r="GJ11">
            <v>3.3373955038041663</v>
          </cell>
          <cell r="GK11">
            <v>3.298842748711881</v>
          </cell>
          <cell r="GL11">
            <v>3.2792428614004185</v>
          </cell>
          <cell r="GM11">
            <v>3.2610117731695869</v>
          </cell>
          <cell r="GN11">
            <v>3.3757623605941904</v>
          </cell>
          <cell r="GO11">
            <v>3.375762360594178</v>
          </cell>
          <cell r="GP11">
            <v>3.3757623605941718</v>
          </cell>
          <cell r="GQ11">
            <v>3.3757623605941665</v>
          </cell>
        </row>
        <row r="12">
          <cell r="A12" t="str">
            <v>Coeff. of Variability</v>
          </cell>
          <cell r="B12">
            <v>1.9727995020852882</v>
          </cell>
          <cell r="C12">
            <v>4.4066481063460152</v>
          </cell>
          <cell r="D12">
            <v>2.0943566413919612</v>
          </cell>
          <cell r="E12">
            <v>-1.8118724810409501</v>
          </cell>
          <cell r="F12">
            <v>1.0187992929629759</v>
          </cell>
          <cell r="G12">
            <v>0.21350388422127414</v>
          </cell>
          <cell r="H12">
            <v>9.7785932989668777E-3</v>
          </cell>
          <cell r="I12">
            <v>9.7785932989668829E-3</v>
          </cell>
          <cell r="J12">
            <v>9.7785932989669175E-3</v>
          </cell>
          <cell r="K12">
            <v>9.7785932989669037E-3</v>
          </cell>
          <cell r="L12">
            <v>0.1293482755143206</v>
          </cell>
          <cell r="M12">
            <v>0.10033982488639938</v>
          </cell>
          <cell r="N12">
            <v>7.0242063454749079E-2</v>
          </cell>
          <cell r="O12">
            <v>6.1338152640828834E-2</v>
          </cell>
          <cell r="P12">
            <v>0.26206665821840786</v>
          </cell>
          <cell r="Q12">
            <v>0.26206665821840824</v>
          </cell>
          <cell r="R12">
            <v>0.26206665821840774</v>
          </cell>
          <cell r="S12">
            <v>0.26206665821840797</v>
          </cell>
          <cell r="T12">
            <v>1.9633588334634333</v>
          </cell>
          <cell r="U12">
            <v>3.9525251910285646</v>
          </cell>
          <cell r="V12">
            <v>2.0186971011864987</v>
          </cell>
          <cell r="W12">
            <v>-1.8218448489718282</v>
          </cell>
          <cell r="X12">
            <v>1.0185297525687518</v>
          </cell>
          <cell r="Y12">
            <v>0.21118485304778611</v>
          </cell>
          <cell r="Z12">
            <v>9.7785932989668777E-3</v>
          </cell>
          <cell r="AA12">
            <v>9.7785932989668829E-3</v>
          </cell>
          <cell r="AB12">
            <v>9.7785932989669175E-3</v>
          </cell>
          <cell r="AC12">
            <v>9.7785932989669037E-3</v>
          </cell>
          <cell r="AD12">
            <v>0.1293482755143206</v>
          </cell>
          <cell r="AE12">
            <v>0.10033982488639938</v>
          </cell>
          <cell r="AF12">
            <v>7.0242063454749079E-2</v>
          </cell>
          <cell r="AG12">
            <v>6.1338152640828834E-2</v>
          </cell>
          <cell r="AH12">
            <v>0.26206665821840786</v>
          </cell>
          <cell r="AI12">
            <v>0.26206665821840824</v>
          </cell>
          <cell r="AJ12">
            <v>0.26206665821840774</v>
          </cell>
          <cell r="AK12">
            <v>0.26206665821840797</v>
          </cell>
          <cell r="AL12">
            <v>4.5182838351298953</v>
          </cell>
          <cell r="AM12">
            <v>-12.917011885791009</v>
          </cell>
          <cell r="AN12">
            <v>-0.11970480545811915</v>
          </cell>
          <cell r="AO12">
            <v>-0.34310764467491894</v>
          </cell>
          <cell r="AP12">
            <v>0.20262265575412888</v>
          </cell>
          <cell r="AQ12">
            <v>0.2026308035441082</v>
          </cell>
          <cell r="AR12">
            <v>9.7785932989669193E-3</v>
          </cell>
          <cell r="AS12">
            <v>9.7785932989669384E-3</v>
          </cell>
          <cell r="AT12">
            <v>9.7785932989669228E-3</v>
          </cell>
          <cell r="AU12">
            <v>9.7785932989669488E-3</v>
          </cell>
          <cell r="AV12">
            <v>0.20262540701689838</v>
          </cell>
          <cell r="AW12">
            <v>9.8916855082240837E-2</v>
          </cell>
          <cell r="AX12">
            <v>9.7187148326266667E-2</v>
          </cell>
          <cell r="AY12">
            <v>7.1007594261743606E-2</v>
          </cell>
          <cell r="AZ12">
            <v>0.26206665821840797</v>
          </cell>
          <cell r="BA12">
            <v>0.26206665821840786</v>
          </cell>
          <cell r="BB12">
            <v>0.26206665821840819</v>
          </cell>
          <cell r="BC12">
            <v>0.26206665821840808</v>
          </cell>
          <cell r="BD12" t="str">
            <v>---</v>
          </cell>
          <cell r="BE12">
            <v>0.33403658341724779</v>
          </cell>
          <cell r="BF12" t="str">
            <v>---</v>
          </cell>
          <cell r="BG12">
            <v>0</v>
          </cell>
          <cell r="BH12">
            <v>-3.3255453722822024</v>
          </cell>
          <cell r="BI12" t="str">
            <v>---</v>
          </cell>
          <cell r="BJ12">
            <v>0.11393637726472296</v>
          </cell>
          <cell r="BK12">
            <v>0.11393637726472296</v>
          </cell>
          <cell r="BL12">
            <v>0.11393637726472304</v>
          </cell>
          <cell r="BM12" t="str">
            <v>---</v>
          </cell>
          <cell r="BN12">
            <v>0.20493572044291669</v>
          </cell>
          <cell r="BO12">
            <v>0.20493572044291669</v>
          </cell>
          <cell r="BP12">
            <v>0.21999753491239499</v>
          </cell>
          <cell r="BQ12" t="str">
            <v>---</v>
          </cell>
          <cell r="BR12">
            <v>0.5014748012854563</v>
          </cell>
          <cell r="BS12">
            <v>0.50159865580049434</v>
          </cell>
          <cell r="BT12">
            <v>0.51770400198537658</v>
          </cell>
          <cell r="BU12" t="str">
            <v>---</v>
          </cell>
          <cell r="BV12">
            <v>2.3656898564226707</v>
          </cell>
          <cell r="BW12">
            <v>0.57266508570290042</v>
          </cell>
          <cell r="BX12">
            <v>8.9275495657564417</v>
          </cell>
          <cell r="BY12">
            <v>-0.93250848039002276</v>
          </cell>
          <cell r="BZ12">
            <v>-2.5485498646920108</v>
          </cell>
          <cell r="CA12">
            <v>0.32573868693586344</v>
          </cell>
          <cell r="CB12">
            <v>9.7785932989669228E-3</v>
          </cell>
          <cell r="CC12">
            <v>9.7785932989669071E-3</v>
          </cell>
          <cell r="CD12">
            <v>9.7785932989669071E-3</v>
          </cell>
          <cell r="CE12">
            <v>9.7785932989669869E-3</v>
          </cell>
          <cell r="CF12">
            <v>0.21085682164099998</v>
          </cell>
          <cell r="CG12">
            <v>0.17047005611674104</v>
          </cell>
          <cell r="CH12">
            <v>0.15201342164732634</v>
          </cell>
          <cell r="CI12">
            <v>9.7795161439206094E-2</v>
          </cell>
          <cell r="CJ12">
            <v>0.28153228732284141</v>
          </cell>
          <cell r="CK12">
            <v>0.2815322873228418</v>
          </cell>
          <cell r="CL12">
            <v>0.28153228732284175</v>
          </cell>
          <cell r="CM12">
            <v>0.28153228732284175</v>
          </cell>
          <cell r="CN12">
            <v>2.3211486414432949</v>
          </cell>
          <cell r="CO12">
            <v>2.0515005223045817</v>
          </cell>
          <cell r="CP12">
            <v>0.77306037563157903</v>
          </cell>
          <cell r="CQ12">
            <v>-0.55795039719951667</v>
          </cell>
          <cell r="CR12">
            <v>-0.6340359388114345</v>
          </cell>
          <cell r="CS12">
            <v>-2.2873239050445835</v>
          </cell>
          <cell r="CT12">
            <v>9.778593298966947E-3</v>
          </cell>
          <cell r="CU12">
            <v>9.7785932989669436E-3</v>
          </cell>
          <cell r="CV12">
            <v>9.7785932989669436E-3</v>
          </cell>
          <cell r="CW12">
            <v>9.7785932989669436E-3</v>
          </cell>
          <cell r="CX12">
            <v>0.19751517517596046</v>
          </cell>
          <cell r="CY12">
            <v>0.13430515499017576</v>
          </cell>
          <cell r="CZ12">
            <v>0.10796947243800244</v>
          </cell>
          <cell r="DA12">
            <v>8.1658679203384543E-2</v>
          </cell>
          <cell r="DB12">
            <v>0.26206665821840813</v>
          </cell>
          <cell r="DC12">
            <v>0.26206665821840752</v>
          </cell>
          <cell r="DD12">
            <v>0.26206665821840791</v>
          </cell>
          <cell r="DE12">
            <v>0.26206665821840774</v>
          </cell>
          <cell r="DF12">
            <v>4.6002563365408689</v>
          </cell>
          <cell r="DG12">
            <v>-17.760188154525238</v>
          </cell>
          <cell r="DH12">
            <v>-0.12661613609214373</v>
          </cell>
          <cell r="DI12">
            <v>-0.33920690949428878</v>
          </cell>
          <cell r="DJ12">
            <v>0.20291955406731044</v>
          </cell>
          <cell r="DK12">
            <v>0.20293493261820642</v>
          </cell>
          <cell r="DL12">
            <v>9.7785932989669193E-3</v>
          </cell>
          <cell r="DM12">
            <v>9.7785932989669384E-3</v>
          </cell>
          <cell r="DN12">
            <v>9.7785932989669228E-3</v>
          </cell>
          <cell r="DO12">
            <v>9.7785932989669488E-3</v>
          </cell>
          <cell r="DP12">
            <v>0.20262540701689838</v>
          </cell>
          <cell r="DQ12">
            <v>9.8916855082240837E-2</v>
          </cell>
          <cell r="DR12">
            <v>9.7187148326266667E-2</v>
          </cell>
          <cell r="DS12">
            <v>7.1007594261743606E-2</v>
          </cell>
          <cell r="DT12">
            <v>0.26206665821840797</v>
          </cell>
          <cell r="DU12">
            <v>0.26206665821840786</v>
          </cell>
          <cell r="DV12">
            <v>0.26206665821840819</v>
          </cell>
          <cell r="DW12">
            <v>0.26206665821840808</v>
          </cell>
          <cell r="DX12">
            <v>0.82660272521652489</v>
          </cell>
          <cell r="DY12">
            <v>0.79897990521654938</v>
          </cell>
          <cell r="DZ12">
            <v>0.85710183390346784</v>
          </cell>
          <cell r="EA12">
            <v>-1.2279142631299533</v>
          </cell>
          <cell r="EB12">
            <v>1.268812145977483</v>
          </cell>
          <cell r="EC12">
            <v>1.2688121459774937</v>
          </cell>
          <cell r="ED12">
            <v>9.7785932989669089E-3</v>
          </cell>
          <cell r="EE12">
            <v>9.7785932989669609E-3</v>
          </cell>
          <cell r="EF12">
            <v>9.7785932989669696E-3</v>
          </cell>
          <cell r="EG12">
            <v>9.7785932989668516E-3</v>
          </cell>
          <cell r="EH12">
            <v>0.11570001664467927</v>
          </cell>
          <cell r="EI12">
            <v>0.13467472419545046</v>
          </cell>
          <cell r="EJ12">
            <v>0.11486439836439861</v>
          </cell>
          <cell r="EK12">
            <v>9.7068673628953994E-2</v>
          </cell>
          <cell r="EL12">
            <v>0.29651889499304196</v>
          </cell>
          <cell r="EM12">
            <v>0.29651889499304174</v>
          </cell>
          <cell r="EN12">
            <v>0.29651889499304185</v>
          </cell>
          <cell r="EO12">
            <v>0.29651889499304118</v>
          </cell>
          <cell r="EP12">
            <v>2.3536533149369609</v>
          </cell>
          <cell r="EQ12">
            <v>0.57098498914622065</v>
          </cell>
          <cell r="ER12">
            <v>9.5194001827043309</v>
          </cell>
          <cell r="ES12">
            <v>-0.95359299186418034</v>
          </cell>
          <cell r="ET12">
            <v>-2.5621379034431122</v>
          </cell>
          <cell r="EU12">
            <v>0.3071613151265859</v>
          </cell>
          <cell r="EV12">
            <v>9.7785932989669228E-3</v>
          </cell>
          <cell r="EW12">
            <v>9.7785932989669071E-3</v>
          </cell>
          <cell r="EX12">
            <v>9.7785932989669071E-3</v>
          </cell>
          <cell r="EY12">
            <v>9.7785932989669869E-3</v>
          </cell>
          <cell r="EZ12">
            <v>0.21085682164099998</v>
          </cell>
          <cell r="FA12">
            <v>0.17047005611674104</v>
          </cell>
          <cell r="FB12">
            <v>0.15201342164732634</v>
          </cell>
          <cell r="FC12">
            <v>9.7795161439206094E-2</v>
          </cell>
          <cell r="FD12">
            <v>0.28152065873014781</v>
          </cell>
          <cell r="FE12">
            <v>0.28152065873014809</v>
          </cell>
          <cell r="FF12">
            <v>0.2815206587301482</v>
          </cell>
          <cell r="FG12">
            <v>0.28152065873014792</v>
          </cell>
          <cell r="FH12">
            <v>2.3305599882074417</v>
          </cell>
          <cell r="FI12">
            <v>2.0595563064946729</v>
          </cell>
          <cell r="FJ12">
            <v>0.77231146959382635</v>
          </cell>
          <cell r="FK12">
            <v>-0.55900374378212436</v>
          </cell>
          <cell r="FL12">
            <v>-0.63459530759836813</v>
          </cell>
          <cell r="FM12">
            <v>-2.2880768961019515</v>
          </cell>
          <cell r="FN12">
            <v>9.778593298966947E-3</v>
          </cell>
          <cell r="FO12">
            <v>9.7785932989669436E-3</v>
          </cell>
          <cell r="FP12">
            <v>9.7785932989669436E-3</v>
          </cell>
          <cell r="FQ12">
            <v>9.7785932989669436E-3</v>
          </cell>
          <cell r="FR12">
            <v>0.19751517517596046</v>
          </cell>
          <cell r="FS12">
            <v>0.13430515499017576</v>
          </cell>
          <cell r="FT12">
            <v>0.10796947243800244</v>
          </cell>
          <cell r="FU12">
            <v>8.1658679203384543E-2</v>
          </cell>
          <cell r="FV12">
            <v>0.26206665821840813</v>
          </cell>
          <cell r="FW12">
            <v>0.26206665821840752</v>
          </cell>
          <cell r="FX12">
            <v>0.26206665821840791</v>
          </cell>
          <cell r="FY12">
            <v>0.26206665821840774</v>
          </cell>
          <cell r="FZ12">
            <v>2.3812354048766058</v>
          </cell>
          <cell r="GA12">
            <v>1.9960116076683825</v>
          </cell>
          <cell r="GB12">
            <v>1.5067748564620977</v>
          </cell>
          <cell r="GC12">
            <v>-0.9804655002536985</v>
          </cell>
          <cell r="GD12">
            <v>-0.8394853526931767</v>
          </cell>
          <cell r="GE12">
            <v>-1.0002909109169791</v>
          </cell>
          <cell r="GF12">
            <v>9.7785932989669123E-3</v>
          </cell>
          <cell r="GG12">
            <v>9.7785932989669835E-3</v>
          </cell>
          <cell r="GH12">
            <v>9.7785932989669835E-3</v>
          </cell>
          <cell r="GI12">
            <v>9.7785932989669835E-3</v>
          </cell>
          <cell r="GJ12">
            <v>0.11927036258971817</v>
          </cell>
          <cell r="GK12">
            <v>6.9039295973849585E-2</v>
          </cell>
          <cell r="GL12">
            <v>5.3148139270910368E-2</v>
          </cell>
          <cell r="GM12">
            <v>4.0466760098121439E-2</v>
          </cell>
          <cell r="GN12">
            <v>0.26206665821840819</v>
          </cell>
          <cell r="GO12">
            <v>0.26206665821840797</v>
          </cell>
          <cell r="GP12">
            <v>0.26206665821840763</v>
          </cell>
          <cell r="GQ12">
            <v>0.26206665821840758</v>
          </cell>
        </row>
        <row r="13">
          <cell r="A13" t="str">
            <v>Minimum</v>
          </cell>
          <cell r="B13">
            <v>0</v>
          </cell>
          <cell r="C13">
            <v>-0.88215828173017918</v>
          </cell>
          <cell r="D13">
            <v>-0.72506782298660555</v>
          </cell>
          <cell r="E13">
            <v>-2</v>
          </cell>
          <cell r="F13">
            <v>-2</v>
          </cell>
          <cell r="G13">
            <v>2.1103302613414492</v>
          </cell>
          <cell r="H13">
            <v>8.3219838104056034</v>
          </cell>
          <cell r="I13">
            <v>9.3462323042167199</v>
          </cell>
          <cell r="J13">
            <v>11.082700457958339</v>
          </cell>
          <cell r="K13">
            <v>11.490356323644612</v>
          </cell>
          <cell r="L13">
            <v>12.435602290317037</v>
          </cell>
          <cell r="M13">
            <v>12.317037075178845</v>
          </cell>
          <cell r="N13">
            <v>13.199195356909025</v>
          </cell>
          <cell r="O13">
            <v>13.336157658742177</v>
          </cell>
          <cell r="P13">
            <v>3.9812673383070698</v>
          </cell>
          <cell r="Q13">
            <v>2.8221641891796949</v>
          </cell>
          <cell r="R13">
            <v>1.9402378800610403</v>
          </cell>
          <cell r="S13">
            <v>1.66306104005232</v>
          </cell>
          <cell r="T13">
            <v>0</v>
          </cell>
          <cell r="U13">
            <v>-0.88215828173017918</v>
          </cell>
          <cell r="V13">
            <v>-0.72506782298660555</v>
          </cell>
          <cell r="W13">
            <v>-2</v>
          </cell>
          <cell r="X13">
            <v>-2</v>
          </cell>
          <cell r="Y13">
            <v>2.1103302613414492</v>
          </cell>
          <cell r="Z13">
            <v>8.3219838104056034</v>
          </cell>
          <cell r="AA13">
            <v>9.3462323042167199</v>
          </cell>
          <cell r="AB13">
            <v>11.082700457958339</v>
          </cell>
          <cell r="AC13">
            <v>11.490356323644612</v>
          </cell>
          <cell r="AD13">
            <v>12.435602290317037</v>
          </cell>
          <cell r="AE13">
            <v>12.317037075178845</v>
          </cell>
          <cell r="AF13">
            <v>13.199195356909025</v>
          </cell>
          <cell r="AG13">
            <v>13.336157658742177</v>
          </cell>
          <cell r="AH13">
            <v>3.9812673383070698</v>
          </cell>
          <cell r="AI13">
            <v>2.8221641891796949</v>
          </cell>
          <cell r="AJ13">
            <v>1.9402378800610403</v>
          </cell>
          <cell r="AK13">
            <v>1.66306104005232</v>
          </cell>
          <cell r="AL13">
            <v>0</v>
          </cell>
          <cell r="AM13">
            <v>-0.25192999234078428</v>
          </cell>
          <cell r="AN13">
            <v>-8.7108543845061348</v>
          </cell>
          <cell r="AO13">
            <v>-2</v>
          </cell>
          <cell r="AP13">
            <v>4.0528956637936284</v>
          </cell>
          <cell r="AQ13">
            <v>9.3934372803480155</v>
          </cell>
          <cell r="AR13">
            <v>18.786161683308691</v>
          </cell>
          <cell r="AS13">
            <v>27.6832382560968</v>
          </cell>
          <cell r="AT13">
            <v>28.055241457746479</v>
          </cell>
          <cell r="AU13">
            <v>37.696324433833944</v>
          </cell>
          <cell r="AV13">
            <v>50.834280114408458</v>
          </cell>
          <cell r="AW13">
            <v>36.287624692093424</v>
          </cell>
          <cell r="AX13">
            <v>36.539554684434208</v>
          </cell>
          <cell r="AY13">
            <v>44.998479076599558</v>
          </cell>
          <cell r="AZ13">
            <v>31.74934712827157</v>
          </cell>
          <cell r="BA13">
            <v>8.1641178329841164</v>
          </cell>
          <cell r="BB13">
            <v>8.0381283602528804</v>
          </cell>
          <cell r="BC13">
            <v>6.7026399493017754</v>
          </cell>
          <cell r="BD13">
            <v>0</v>
          </cell>
          <cell r="BE13">
            <v>0</v>
          </cell>
          <cell r="BF13" t="str">
            <v>---</v>
          </cell>
          <cell r="BG13">
            <v>-2</v>
          </cell>
          <cell r="BH13">
            <v>-2</v>
          </cell>
          <cell r="BI13" t="str">
            <v>---</v>
          </cell>
          <cell r="BJ13">
            <v>17.613136327299276</v>
          </cell>
          <cell r="BK13">
            <v>17.613136327299276</v>
          </cell>
          <cell r="BL13">
            <v>14.070042758829953</v>
          </cell>
          <cell r="BM13">
            <v>0</v>
          </cell>
          <cell r="BN13">
            <v>23.024336637202904</v>
          </cell>
          <cell r="BO13">
            <v>23.024336637202904</v>
          </cell>
          <cell r="BP13">
            <v>18.617514748388608</v>
          </cell>
          <cell r="BQ13">
            <v>0</v>
          </cell>
          <cell r="BR13">
            <v>3.3093246227224968</v>
          </cell>
          <cell r="BS13">
            <v>3.3093246227224968</v>
          </cell>
          <cell r="BT13">
            <v>2.8684138001011346</v>
          </cell>
          <cell r="BU13">
            <v>0</v>
          </cell>
          <cell r="BV13">
            <v>0</v>
          </cell>
          <cell r="BW13">
            <v>0</v>
          </cell>
          <cell r="BX13">
            <v>-5.1240184960982518</v>
          </cell>
          <cell r="BY13">
            <v>-2</v>
          </cell>
          <cell r="BZ13">
            <v>-2</v>
          </cell>
          <cell r="CA13">
            <v>3.9745814097095713</v>
          </cell>
          <cell r="CB13">
            <v>10.457052911323697</v>
          </cell>
          <cell r="CC13">
            <v>12.83871029728278</v>
          </cell>
          <cell r="CD13">
            <v>12.83871029728278</v>
          </cell>
          <cell r="CE13">
            <v>20.209845692878272</v>
          </cell>
          <cell r="CF13">
            <v>23.575078971887471</v>
          </cell>
          <cell r="CG13">
            <v>21.194100910829938</v>
          </cell>
          <cell r="CH13">
            <v>19.261008490936966</v>
          </cell>
          <cell r="CI13">
            <v>24.912935129020582</v>
          </cell>
          <cell r="CJ13">
            <v>12.951719213282916</v>
          </cell>
          <cell r="CK13">
            <v>8.1512063705486995</v>
          </cell>
          <cell r="CL13">
            <v>6.2181139506557281</v>
          </cell>
          <cell r="CM13">
            <v>4.3816761517574037</v>
          </cell>
          <cell r="CN13">
            <v>0</v>
          </cell>
          <cell r="CO13">
            <v>0</v>
          </cell>
          <cell r="CP13">
            <v>0</v>
          </cell>
          <cell r="CQ13">
            <v>-2</v>
          </cell>
          <cell r="CR13">
            <v>-2</v>
          </cell>
          <cell r="CS13">
            <v>-2</v>
          </cell>
          <cell r="CT13">
            <v>3.0244100941790286</v>
          </cell>
          <cell r="CU13">
            <v>3.4634396930863138</v>
          </cell>
          <cell r="CV13">
            <v>3.4634396930863138</v>
          </cell>
          <cell r="CW13">
            <v>3.4634396930863138</v>
          </cell>
          <cell r="CX13">
            <v>7.6585265059408343</v>
          </cell>
          <cell r="CY13">
            <v>5.3075720478562332</v>
          </cell>
          <cell r="CZ13">
            <v>4.7028225787462992</v>
          </cell>
          <cell r="DA13">
            <v>4.2744583714600957</v>
          </cell>
          <cell r="DB13">
            <v>4.5860168074170042</v>
          </cell>
          <cell r="DC13">
            <v>1.7890505127835565</v>
          </cell>
          <cell r="DD13">
            <v>1.1843010436736221</v>
          </cell>
          <cell r="DE13">
            <v>0.75593683638741838</v>
          </cell>
          <cell r="DF13">
            <v>0</v>
          </cell>
          <cell r="DG13">
            <v>-0.25192999234078428</v>
          </cell>
          <cell r="DH13">
            <v>-8.7108543845061348</v>
          </cell>
          <cell r="DI13">
            <v>-2</v>
          </cell>
          <cell r="DJ13">
            <v>4.0528956637936284</v>
          </cell>
          <cell r="DK13">
            <v>9.3934372803480155</v>
          </cell>
          <cell r="DL13">
            <v>18.786161683308691</v>
          </cell>
          <cell r="DM13">
            <v>27.6832382560968</v>
          </cell>
          <cell r="DN13">
            <v>28.055241457746479</v>
          </cell>
          <cell r="DO13">
            <v>37.696324433833944</v>
          </cell>
          <cell r="DP13">
            <v>50.834280114408458</v>
          </cell>
          <cell r="DQ13">
            <v>36.287624692093424</v>
          </cell>
          <cell r="DR13">
            <v>36.539554684434208</v>
          </cell>
          <cell r="DS13">
            <v>44.998479076599558</v>
          </cell>
          <cell r="DT13">
            <v>31.74934712827157</v>
          </cell>
          <cell r="DU13">
            <v>8.1641178329841164</v>
          </cell>
          <cell r="DV13">
            <v>8.0381283602528804</v>
          </cell>
          <cell r="DW13">
            <v>6.7026399493017754</v>
          </cell>
          <cell r="DX13">
            <v>0</v>
          </cell>
          <cell r="DY13">
            <v>-2.181985410451091</v>
          </cell>
          <cell r="DZ13">
            <v>-10.676179743658935</v>
          </cell>
          <cell r="EA13">
            <v>-2</v>
          </cell>
          <cell r="EB13">
            <v>0</v>
          </cell>
          <cell r="EC13">
            <v>0</v>
          </cell>
          <cell r="ED13">
            <v>204.90274020502238</v>
          </cell>
          <cell r="EE13">
            <v>59.772183320299632</v>
          </cell>
          <cell r="EF13">
            <v>65.102639621158687</v>
          </cell>
          <cell r="EG13">
            <v>75.193548762438297</v>
          </cell>
          <cell r="EH13">
            <v>256.41414478419995</v>
          </cell>
          <cell r="EI13">
            <v>79.10308513109743</v>
          </cell>
          <cell r="EJ13">
            <v>81.285070541548521</v>
          </cell>
          <cell r="EK13">
            <v>89.779264874756365</v>
          </cell>
          <cell r="EL13">
            <v>48.252672983222268</v>
          </cell>
          <cell r="EM13">
            <v>18.380297137818822</v>
          </cell>
          <cell r="EN13">
            <v>15.147051752198685</v>
          </cell>
          <cell r="EO13">
            <v>13.389853173057309</v>
          </cell>
          <cell r="EP13">
            <v>0</v>
          </cell>
          <cell r="EQ13">
            <v>0</v>
          </cell>
          <cell r="ER13">
            <v>-4.9811426340154199</v>
          </cell>
          <cell r="ES13">
            <v>-2</v>
          </cell>
          <cell r="ET13">
            <v>-2</v>
          </cell>
          <cell r="EU13">
            <v>3.9745814097095713</v>
          </cell>
          <cell r="EV13">
            <v>10.457052911323697</v>
          </cell>
          <cell r="EW13">
            <v>12.83871029728278</v>
          </cell>
          <cell r="EX13">
            <v>12.83871029728278</v>
          </cell>
          <cell r="EY13">
            <v>20.209845692878272</v>
          </cell>
          <cell r="EZ13">
            <v>23.575078971887471</v>
          </cell>
          <cell r="FA13">
            <v>21.194100910829938</v>
          </cell>
          <cell r="FB13">
            <v>19.261008490936966</v>
          </cell>
          <cell r="FC13">
            <v>24.912935129020582</v>
          </cell>
          <cell r="FD13">
            <v>12.951719213282916</v>
          </cell>
          <cell r="FE13">
            <v>8.1512063705486995</v>
          </cell>
          <cell r="FF13">
            <v>6.2181139506557281</v>
          </cell>
          <cell r="FG13">
            <v>4.3816761517574037</v>
          </cell>
          <cell r="FH13">
            <v>0</v>
          </cell>
          <cell r="FI13">
            <v>0</v>
          </cell>
          <cell r="FJ13">
            <v>0</v>
          </cell>
          <cell r="FK13">
            <v>-2</v>
          </cell>
          <cell r="FL13">
            <v>-2</v>
          </cell>
          <cell r="FM13">
            <v>-2</v>
          </cell>
          <cell r="FN13">
            <v>3.0244100941790286</v>
          </cell>
          <cell r="FO13">
            <v>3.4634396930863138</v>
          </cell>
          <cell r="FP13">
            <v>3.4634396930863138</v>
          </cell>
          <cell r="FQ13">
            <v>3.4634396930863138</v>
          </cell>
          <cell r="FR13">
            <v>7.6585265059408343</v>
          </cell>
          <cell r="FS13">
            <v>5.3075720478562332</v>
          </cell>
          <cell r="FT13">
            <v>4.7028225787462992</v>
          </cell>
          <cell r="FU13">
            <v>4.2744583714600957</v>
          </cell>
          <cell r="FV13">
            <v>4.5860168074170042</v>
          </cell>
          <cell r="FW13">
            <v>1.7890505127835565</v>
          </cell>
          <cell r="FX13">
            <v>1.1843010436736221</v>
          </cell>
          <cell r="FY13">
            <v>0.75593683638741838</v>
          </cell>
          <cell r="FZ13">
            <v>0</v>
          </cell>
          <cell r="GA13">
            <v>0</v>
          </cell>
          <cell r="GB13">
            <v>0</v>
          </cell>
          <cell r="GC13">
            <v>-2</v>
          </cell>
          <cell r="GD13">
            <v>-2</v>
          </cell>
          <cell r="GE13">
            <v>-2</v>
          </cell>
          <cell r="GF13">
            <v>4.2510262836379402</v>
          </cell>
          <cell r="GG13">
            <v>4.8681140151734024</v>
          </cell>
          <cell r="GH13">
            <v>4.8681140151734024</v>
          </cell>
          <cell r="GI13">
            <v>4.8681140151734024</v>
          </cell>
          <cell r="GJ13">
            <v>6.0572884666136666</v>
          </cell>
          <cell r="GK13">
            <v>5.7770660325308585</v>
          </cell>
          <cell r="GL13">
            <v>5.5250870870683855</v>
          </cell>
          <cell r="GM13">
            <v>5.348701825244655</v>
          </cell>
          <cell r="GN13">
            <v>1.7386547236910621</v>
          </cell>
          <cell r="GO13">
            <v>0.83153052002616001</v>
          </cell>
          <cell r="GP13">
            <v>0.57955157456368722</v>
          </cell>
          <cell r="GQ13">
            <v>0.40316631273995646</v>
          </cell>
        </row>
        <row r="14">
          <cell r="A14" t="str">
            <v>Maximum</v>
          </cell>
          <cell r="B14">
            <v>3.1435957177492675</v>
          </cell>
          <cell r="C14">
            <v>2.4529915523811887</v>
          </cell>
          <cell r="D14">
            <v>2.423715309277239</v>
          </cell>
          <cell r="E14">
            <v>2.6921416425612033</v>
          </cell>
          <cell r="F14">
            <v>5.9985900400465884</v>
          </cell>
          <cell r="G14">
            <v>5.2506724226908554</v>
          </cell>
          <cell r="H14">
            <v>8.6346430990863574</v>
          </cell>
          <cell r="I14">
            <v>9.6973728988941161</v>
          </cell>
          <cell r="J14">
            <v>11.499080652968383</v>
          </cell>
          <cell r="K14">
            <v>11.922052264983391</v>
          </cell>
          <cell r="L14">
            <v>23.127192504152561</v>
          </cell>
          <cell r="M14">
            <v>19.947634966737343</v>
          </cell>
          <cell r="N14">
            <v>18.51514639951225</v>
          </cell>
          <cell r="O14">
            <v>17.922575188948613</v>
          </cell>
          <cell r="P14">
            <v>14.547925036484985</v>
          </cell>
          <cell r="Q14">
            <v>10.312453190419737</v>
          </cell>
          <cell r="R14">
            <v>7.0898115684135687</v>
          </cell>
          <cell r="S14">
            <v>6.0769813443544871</v>
          </cell>
          <cell r="T14">
            <v>3.1353238411498126</v>
          </cell>
          <cell r="U14">
            <v>2.4439404410296128</v>
          </cell>
          <cell r="V14">
            <v>2.4149489183158632</v>
          </cell>
          <cell r="W14">
            <v>2.6921416425612033</v>
          </cell>
          <cell r="X14">
            <v>5.9985900400465884</v>
          </cell>
          <cell r="Y14">
            <v>5.2506724226908554</v>
          </cell>
          <cell r="Z14">
            <v>8.6346430990863574</v>
          </cell>
          <cell r="AA14">
            <v>9.6973728988941161</v>
          </cell>
          <cell r="AB14">
            <v>11.499080652968383</v>
          </cell>
          <cell r="AC14">
            <v>11.922052264983391</v>
          </cell>
          <cell r="AD14">
            <v>23.127192504152561</v>
          </cell>
          <cell r="AE14">
            <v>19.947634966737343</v>
          </cell>
          <cell r="AF14">
            <v>18.51514639951225</v>
          </cell>
          <cell r="AG14">
            <v>17.922575188948613</v>
          </cell>
          <cell r="AH14">
            <v>14.547925036484985</v>
          </cell>
          <cell r="AI14">
            <v>10.312453190419737</v>
          </cell>
          <cell r="AJ14">
            <v>7.0898115684135687</v>
          </cell>
          <cell r="AK14">
            <v>6.0769813443544871</v>
          </cell>
          <cell r="AL14">
            <v>59.697319668065205</v>
          </cell>
          <cell r="AM14">
            <v>2.9692542889937528</v>
          </cell>
          <cell r="AN14">
            <v>-3.0702342367916198</v>
          </cell>
          <cell r="AO14">
            <v>1.1492695049016106</v>
          </cell>
          <cell r="AP14">
            <v>8.9955366404564359</v>
          </cell>
          <cell r="AQ14">
            <v>20.873263899909546</v>
          </cell>
          <cell r="AR14">
            <v>19.49196309830311</v>
          </cell>
          <cell r="AS14">
            <v>28.723305357730492</v>
          </cell>
          <cell r="AT14">
            <v>29.109284825023625</v>
          </cell>
          <cell r="AU14">
            <v>39.112586019037266</v>
          </cell>
          <cell r="AV14">
            <v>135.3820557720752</v>
          </cell>
          <cell r="AW14">
            <v>58.371551133356419</v>
          </cell>
          <cell r="AX14">
            <v>58.294677865315847</v>
          </cell>
          <cell r="AY14">
            <v>63.353825789130454</v>
          </cell>
          <cell r="AZ14">
            <v>116.01509839222203</v>
          </cell>
          <cell r="BA14">
            <v>29.832453872285669</v>
          </cell>
          <cell r="BB14">
            <v>29.372076497713355</v>
          </cell>
          <cell r="BC14">
            <v>24.492076327246878</v>
          </cell>
          <cell r="BD14">
            <v>0</v>
          </cell>
          <cell r="BE14">
            <v>8.8837190387529645</v>
          </cell>
          <cell r="BF14" t="str">
            <v>---</v>
          </cell>
          <cell r="BG14">
            <v>-2</v>
          </cell>
          <cell r="BH14">
            <v>0</v>
          </cell>
          <cell r="BI14" t="str">
            <v>---</v>
          </cell>
          <cell r="BJ14">
            <v>26.767690672234703</v>
          </cell>
          <cell r="BK14">
            <v>26.767690672234703</v>
          </cell>
          <cell r="BL14">
            <v>21.383048726519775</v>
          </cell>
          <cell r="BM14">
            <v>0</v>
          </cell>
          <cell r="BN14">
            <v>63.089806219511175</v>
          </cell>
          <cell r="BO14">
            <v>63.089806219511175</v>
          </cell>
          <cell r="BP14">
            <v>54.20608718075821</v>
          </cell>
          <cell r="BQ14">
            <v>0</v>
          </cell>
          <cell r="BR14">
            <v>36.493781909810266</v>
          </cell>
          <cell r="BS14">
            <v>36.493781909810266</v>
          </cell>
          <cell r="BT14">
            <v>32.960172069525321</v>
          </cell>
          <cell r="BU14">
            <v>0</v>
          </cell>
          <cell r="BV14">
            <v>18.365661314108984</v>
          </cell>
          <cell r="BW14">
            <v>12.145916788696061</v>
          </cell>
          <cell r="BX14">
            <v>10.447149998107619</v>
          </cell>
          <cell r="BY14">
            <v>1.9326064346585843</v>
          </cell>
          <cell r="BZ14">
            <v>0.28219819559521503</v>
          </cell>
          <cell r="CA14">
            <v>15.635433846956335</v>
          </cell>
          <cell r="CB14">
            <v>10.849927350812917</v>
          </cell>
          <cell r="CC14">
            <v>13.32106427928735</v>
          </cell>
          <cell r="CD14">
            <v>13.32106427928735</v>
          </cell>
          <cell r="CE14">
            <v>20.969135319323144</v>
          </cell>
          <cell r="CF14">
            <v>70.821817479889546</v>
          </cell>
          <cell r="CG14">
            <v>51.022928799234165</v>
          </cell>
          <cell r="CH14">
            <v>42.061514947647915</v>
          </cell>
          <cell r="CI14">
            <v>41.147194274136908</v>
          </cell>
          <cell r="CJ14">
            <v>60.041472805627883</v>
          </cell>
          <cell r="CK14">
            <v>37.787295074188691</v>
          </cell>
          <cell r="CL14">
            <v>28.825881222602444</v>
          </cell>
          <cell r="CM14">
            <v>20.3125380635955</v>
          </cell>
          <cell r="CN14">
            <v>9.5782318513262261</v>
          </cell>
          <cell r="CO14">
            <v>8.6820267514260969</v>
          </cell>
          <cell r="CP14">
            <v>4.1513222391603382</v>
          </cell>
          <cell r="CQ14">
            <v>0.47821283220263494</v>
          </cell>
          <cell r="CR14">
            <v>0.26737410796040662</v>
          </cell>
          <cell r="CS14">
            <v>7.1527236395558996E-2</v>
          </cell>
          <cell r="CT14">
            <v>3.1380380379804262</v>
          </cell>
          <cell r="CU14">
            <v>3.5935621032591203</v>
          </cell>
          <cell r="CV14">
            <v>3.5935621032591203</v>
          </cell>
          <cell r="CW14">
            <v>3.5935621032591203</v>
          </cell>
          <cell r="CX14">
            <v>19.875649629292148</v>
          </cell>
          <cell r="CY14">
            <v>10.107874615385356</v>
          </cell>
          <cell r="CZ14">
            <v>7.8980632174382697</v>
          </cell>
          <cell r="DA14">
            <v>6.3327801438924167</v>
          </cell>
          <cell r="DB14">
            <v>16.757736434432072</v>
          </cell>
          <cell r="DC14">
            <v>6.5373587189267983</v>
          </cell>
          <cell r="DD14">
            <v>4.3275473209797113</v>
          </cell>
          <cell r="DE14">
            <v>2.7622642474338583</v>
          </cell>
          <cell r="DF14">
            <v>75.128531145390937</v>
          </cell>
          <cell r="DG14">
            <v>3.8232465481021456</v>
          </cell>
          <cell r="DH14">
            <v>-1.3424661141166916</v>
          </cell>
          <cell r="DI14">
            <v>1.1492695049016106</v>
          </cell>
          <cell r="DJ14">
            <v>8.9955366404564359</v>
          </cell>
          <cell r="DK14">
            <v>20.873263899909546</v>
          </cell>
          <cell r="DL14">
            <v>19.49196309830311</v>
          </cell>
          <cell r="DM14">
            <v>28.723305357730492</v>
          </cell>
          <cell r="DN14">
            <v>29.109284825023625</v>
          </cell>
          <cell r="DO14">
            <v>39.112586019037266</v>
          </cell>
          <cell r="DP14">
            <v>135.3820557720752</v>
          </cell>
          <cell r="DQ14">
            <v>58.371551133356419</v>
          </cell>
          <cell r="DR14">
            <v>58.294677865315847</v>
          </cell>
          <cell r="DS14">
            <v>63.353825789130454</v>
          </cell>
          <cell r="DT14">
            <v>116.01509839222203</v>
          </cell>
          <cell r="DU14">
            <v>29.832453872285669</v>
          </cell>
          <cell r="DV14">
            <v>29.372076497713355</v>
          </cell>
          <cell r="DW14">
            <v>24.492076327246878</v>
          </cell>
          <cell r="DX14">
            <v>309.84305217170555</v>
          </cell>
          <cell r="DY14">
            <v>197.75264472815746</v>
          </cell>
          <cell r="DZ14">
            <v>196.77479992850556</v>
          </cell>
          <cell r="EA14">
            <v>0</v>
          </cell>
          <cell r="EB14">
            <v>7.0053036290048203</v>
          </cell>
          <cell r="EC14">
            <v>13.130609567208898</v>
          </cell>
          <cell r="ED14">
            <v>212.60099418637893</v>
          </cell>
          <cell r="EE14">
            <v>62.017841176116789</v>
          </cell>
          <cell r="EF14">
            <v>67.548564229872738</v>
          </cell>
          <cell r="EG14">
            <v>78.018591685503026</v>
          </cell>
          <cell r="EH14">
            <v>470.04904120051162</v>
          </cell>
          <cell r="EI14">
            <v>160.20598902880607</v>
          </cell>
          <cell r="EJ14">
            <v>148.35917560367193</v>
          </cell>
          <cell r="EK14">
            <v>149.33702040332383</v>
          </cell>
          <cell r="EL14">
            <v>258.81149819077456</v>
          </cell>
          <cell r="EM14">
            <v>98.58588022853246</v>
          </cell>
          <cell r="EN14">
            <v>81.243813343207435</v>
          </cell>
          <cell r="EO14">
            <v>71.818776992487329</v>
          </cell>
          <cell r="EP14">
            <v>19.382342458526765</v>
          </cell>
          <cell r="EQ14">
            <v>12.763554488866742</v>
          </cell>
          <cell r="ER14">
            <v>11.348721002214484</v>
          </cell>
          <cell r="ES14">
            <v>1.9326064346585843</v>
          </cell>
          <cell r="ET14">
            <v>0.28219819559521503</v>
          </cell>
          <cell r="EU14">
            <v>15.635433846956335</v>
          </cell>
          <cell r="EV14">
            <v>10.849927350812917</v>
          </cell>
          <cell r="EW14">
            <v>13.32106427928735</v>
          </cell>
          <cell r="EX14">
            <v>13.32106427928735</v>
          </cell>
          <cell r="EY14">
            <v>20.969135319323144</v>
          </cell>
          <cell r="EZ14">
            <v>70.821817479889546</v>
          </cell>
          <cell r="FA14">
            <v>51.022928799234165</v>
          </cell>
          <cell r="FB14">
            <v>42.061514947647915</v>
          </cell>
          <cell r="FC14">
            <v>41.147194274136908</v>
          </cell>
          <cell r="FD14">
            <v>60.041472805627883</v>
          </cell>
          <cell r="FE14">
            <v>37.787295074188691</v>
          </cell>
          <cell r="FF14">
            <v>28.825881222602444</v>
          </cell>
          <cell r="FG14">
            <v>20.3125380635955</v>
          </cell>
          <cell r="FH14">
            <v>9.6809975794954752</v>
          </cell>
          <cell r="FI14">
            <v>8.7741270634826432</v>
          </cell>
          <cell r="FJ14">
            <v>4.1948021923138947</v>
          </cell>
          <cell r="FK14">
            <v>0.47821283220263494</v>
          </cell>
          <cell r="FL14">
            <v>0.26737410796040662</v>
          </cell>
          <cell r="FM14">
            <v>7.1527236395558996E-2</v>
          </cell>
          <cell r="FN14">
            <v>3.1380380379804262</v>
          </cell>
          <cell r="FO14">
            <v>3.5935621032591203</v>
          </cell>
          <cell r="FP14">
            <v>3.5935621032591203</v>
          </cell>
          <cell r="FQ14">
            <v>3.5935621032591203</v>
          </cell>
          <cell r="FR14">
            <v>19.875649629292148</v>
          </cell>
          <cell r="FS14">
            <v>10.107874615385356</v>
          </cell>
          <cell r="FT14">
            <v>7.8980632174382697</v>
          </cell>
          <cell r="FU14">
            <v>6.3327801438924167</v>
          </cell>
          <cell r="FV14">
            <v>16.757736434432072</v>
          </cell>
          <cell r="FW14">
            <v>6.5373587189267983</v>
          </cell>
          <cell r="FX14">
            <v>4.3275473209797113</v>
          </cell>
          <cell r="FY14">
            <v>2.7622642474338583</v>
          </cell>
          <cell r="FZ14">
            <v>2.6439337163284975</v>
          </cell>
          <cell r="GA14">
            <v>2.709013655320736</v>
          </cell>
          <cell r="GB14">
            <v>2.250305237919255</v>
          </cell>
          <cell r="GC14">
            <v>2.0725013158439927</v>
          </cell>
          <cell r="GD14">
            <v>1.1029311350404556</v>
          </cell>
          <cell r="GE14">
            <v>0.56979820543419746</v>
          </cell>
          <cell r="GF14">
            <v>4.4107385450753549</v>
          </cell>
          <cell r="GG14">
            <v>5.0510104374540834</v>
          </cell>
          <cell r="GH14">
            <v>5.0510104374540834</v>
          </cell>
          <cell r="GI14">
            <v>5.0510104374540834</v>
          </cell>
          <cell r="GJ14">
            <v>10.73565939725566</v>
          </cell>
          <cell r="GK14">
            <v>8.0571080055890203</v>
          </cell>
          <cell r="GL14">
            <v>7.1363532564444006</v>
          </cell>
          <cell r="GM14">
            <v>6.4918249320431674</v>
          </cell>
          <cell r="GN14">
            <v>6.3532077690978737</v>
          </cell>
          <cell r="GO14">
            <v>3.0384906721772436</v>
          </cell>
          <cell r="GP14">
            <v>2.1177359230326243</v>
          </cell>
          <cell r="GQ14">
            <v>1.4732075986313908</v>
          </cell>
        </row>
        <row r="15">
          <cell r="A15" t="str">
            <v>Range Width</v>
          </cell>
          <cell r="B15">
            <v>3.1435957177492675</v>
          </cell>
          <cell r="C15">
            <v>3.3351498341113679</v>
          </cell>
          <cell r="D15">
            <v>3.1487831322638447</v>
          </cell>
          <cell r="E15">
            <v>4.6921416425612037</v>
          </cell>
          <cell r="F15">
            <v>7.9985900400465884</v>
          </cell>
          <cell r="G15">
            <v>3.1403421613494062</v>
          </cell>
          <cell r="H15">
            <v>0.31265928868075399</v>
          </cell>
          <cell r="I15">
            <v>0.35114059467739622</v>
          </cell>
          <cell r="J15">
            <v>0.41638019501004386</v>
          </cell>
          <cell r="K15">
            <v>0.43169594133877887</v>
          </cell>
          <cell r="L15">
            <v>10.691590213835523</v>
          </cell>
          <cell r="M15">
            <v>7.630597891558498</v>
          </cell>
          <cell r="N15">
            <v>5.3159510426032259</v>
          </cell>
          <cell r="O15">
            <v>4.5864175302064361</v>
          </cell>
          <cell r="P15">
            <v>10.566657698177915</v>
          </cell>
          <cell r="Q15">
            <v>7.4902890012400416</v>
          </cell>
          <cell r="R15">
            <v>5.1495736883525289</v>
          </cell>
          <cell r="S15">
            <v>4.4139203043021666</v>
          </cell>
          <cell r="T15">
            <v>3.1353238411498126</v>
          </cell>
          <cell r="U15">
            <v>3.326098722759792</v>
          </cell>
          <cell r="V15">
            <v>3.1400167413024689</v>
          </cell>
          <cell r="W15">
            <v>4.6921416425612037</v>
          </cell>
          <cell r="X15">
            <v>7.9985900400465884</v>
          </cell>
          <cell r="Y15">
            <v>3.1403421613494062</v>
          </cell>
          <cell r="Z15">
            <v>0.31265928868075399</v>
          </cell>
          <cell r="AA15">
            <v>0.35114059467739622</v>
          </cell>
          <cell r="AB15">
            <v>0.41638019501004386</v>
          </cell>
          <cell r="AC15">
            <v>0.43169594133877887</v>
          </cell>
          <cell r="AD15">
            <v>10.691590213835523</v>
          </cell>
          <cell r="AE15">
            <v>7.630597891558498</v>
          </cell>
          <cell r="AF15">
            <v>5.3159510426032259</v>
          </cell>
          <cell r="AG15">
            <v>4.5864175302064361</v>
          </cell>
          <cell r="AH15">
            <v>10.566657698177915</v>
          </cell>
          <cell r="AI15">
            <v>7.4902890012400416</v>
          </cell>
          <cell r="AJ15">
            <v>5.1495736883525289</v>
          </cell>
          <cell r="AK15">
            <v>4.4139203043021666</v>
          </cell>
          <cell r="AL15">
            <v>59.697319668065205</v>
          </cell>
          <cell r="AM15">
            <v>3.221184281334537</v>
          </cell>
          <cell r="AN15">
            <v>5.6406201477145146</v>
          </cell>
          <cell r="AO15">
            <v>3.1492695049016106</v>
          </cell>
          <cell r="AP15">
            <v>4.9426409766628074</v>
          </cell>
          <cell r="AQ15">
            <v>11.47982661956153</v>
          </cell>
          <cell r="AR15">
            <v>0.70580141499441851</v>
          </cell>
          <cell r="AS15">
            <v>1.0400671016336922</v>
          </cell>
          <cell r="AT15">
            <v>1.0540433672771456</v>
          </cell>
          <cell r="AU15">
            <v>1.4162615852033227</v>
          </cell>
          <cell r="AV15">
            <v>84.547775657666747</v>
          </cell>
          <cell r="AW15">
            <v>22.083926441262996</v>
          </cell>
          <cell r="AX15">
            <v>21.75512318088164</v>
          </cell>
          <cell r="AY15">
            <v>18.355346712530896</v>
          </cell>
          <cell r="AZ15">
            <v>84.265751263950463</v>
          </cell>
          <cell r="BA15">
            <v>21.66833603930155</v>
          </cell>
          <cell r="BB15">
            <v>21.333948137460474</v>
          </cell>
          <cell r="BC15">
            <v>17.789436377945101</v>
          </cell>
          <cell r="BD15">
            <v>0</v>
          </cell>
          <cell r="BE15">
            <v>8.8837190387529645</v>
          </cell>
          <cell r="BF15" t="str">
            <v>---</v>
          </cell>
          <cell r="BG15">
            <v>0</v>
          </cell>
          <cell r="BH15">
            <v>2</v>
          </cell>
          <cell r="BI15" t="str">
            <v>---</v>
          </cell>
          <cell r="BJ15">
            <v>9.154554344935427</v>
          </cell>
          <cell r="BK15">
            <v>9.154554344935427</v>
          </cell>
          <cell r="BL15">
            <v>7.313005967689822</v>
          </cell>
          <cell r="BM15">
            <v>0</v>
          </cell>
          <cell r="BN15">
            <v>40.065469582308268</v>
          </cell>
          <cell r="BO15">
            <v>40.065469582308268</v>
          </cell>
          <cell r="BP15">
            <v>35.588572432369602</v>
          </cell>
          <cell r="BQ15">
            <v>0</v>
          </cell>
          <cell r="BR15">
            <v>33.184457287087767</v>
          </cell>
          <cell r="BS15">
            <v>33.184457287087767</v>
          </cell>
          <cell r="BT15">
            <v>30.091758269424187</v>
          </cell>
          <cell r="BU15">
            <v>0</v>
          </cell>
          <cell r="BV15">
            <v>18.365661314108984</v>
          </cell>
          <cell r="BW15">
            <v>12.145916788696061</v>
          </cell>
          <cell r="BX15">
            <v>15.571168494205871</v>
          </cell>
          <cell r="BY15">
            <v>3.9326064346585845</v>
          </cell>
          <cell r="BZ15">
            <v>2.2821981955952149</v>
          </cell>
          <cell r="CA15">
            <v>11.660852437246763</v>
          </cell>
          <cell r="CB15">
            <v>0.39287443948922096</v>
          </cell>
          <cell r="CC15">
            <v>0.48235398200456991</v>
          </cell>
          <cell r="CD15">
            <v>0.48235398200456991</v>
          </cell>
          <cell r="CE15">
            <v>0.75928962644487186</v>
          </cell>
          <cell r="CF15">
            <v>47.246738508002075</v>
          </cell>
          <cell r="CG15">
            <v>29.828827888404227</v>
          </cell>
          <cell r="CH15">
            <v>22.800506456710949</v>
          </cell>
          <cell r="CI15">
            <v>16.234259145116326</v>
          </cell>
          <cell r="CJ15">
            <v>47.089753592344969</v>
          </cell>
          <cell r="CK15">
            <v>29.636088703639992</v>
          </cell>
          <cell r="CL15">
            <v>22.607767271946717</v>
          </cell>
          <cell r="CM15">
            <v>15.930861911838097</v>
          </cell>
          <cell r="CN15">
            <v>9.5782318513262261</v>
          </cell>
          <cell r="CO15">
            <v>8.6820267514260969</v>
          </cell>
          <cell r="CP15">
            <v>4.1513222391603382</v>
          </cell>
          <cell r="CQ15">
            <v>2.4782128322026349</v>
          </cell>
          <cell r="CR15">
            <v>2.2673741079604066</v>
          </cell>
          <cell r="CS15">
            <v>2.0715272363955588</v>
          </cell>
          <cell r="CT15">
            <v>0.11362794380139762</v>
          </cell>
          <cell r="CU15">
            <v>0.13012241017280646</v>
          </cell>
          <cell r="CV15">
            <v>0.13012241017280646</v>
          </cell>
          <cell r="CW15">
            <v>0.13012241017280646</v>
          </cell>
          <cell r="CX15">
            <v>12.217123123351314</v>
          </cell>
          <cell r="CY15">
            <v>4.8003025675291227</v>
          </cell>
          <cell r="CZ15">
            <v>3.1952406386919705</v>
          </cell>
          <cell r="DA15">
            <v>2.0583217724323211</v>
          </cell>
          <cell r="DB15">
            <v>12.171719627015069</v>
          </cell>
          <cell r="DC15">
            <v>4.7483082061432418</v>
          </cell>
          <cell r="DD15">
            <v>3.1432462773060892</v>
          </cell>
          <cell r="DE15">
            <v>2.0063274110464402</v>
          </cell>
          <cell r="DF15">
            <v>75.128531145390937</v>
          </cell>
          <cell r="DG15">
            <v>4.0751765404429303</v>
          </cell>
          <cell r="DH15">
            <v>7.3683882703894437</v>
          </cell>
          <cell r="DI15">
            <v>3.1492695049016106</v>
          </cell>
          <cell r="DJ15">
            <v>4.9426409766628074</v>
          </cell>
          <cell r="DK15">
            <v>11.47982661956153</v>
          </cell>
          <cell r="DL15">
            <v>0.70580141499441851</v>
          </cell>
          <cell r="DM15">
            <v>1.0400671016336922</v>
          </cell>
          <cell r="DN15">
            <v>1.0540433672771456</v>
          </cell>
          <cell r="DO15">
            <v>1.4162615852033227</v>
          </cell>
          <cell r="DP15">
            <v>84.547775657666747</v>
          </cell>
          <cell r="DQ15">
            <v>22.083926441262996</v>
          </cell>
          <cell r="DR15">
            <v>21.75512318088164</v>
          </cell>
          <cell r="DS15">
            <v>18.355346712530896</v>
          </cell>
          <cell r="DT15">
            <v>84.265751263950463</v>
          </cell>
          <cell r="DU15">
            <v>21.66833603930155</v>
          </cell>
          <cell r="DV15">
            <v>21.333948137460474</v>
          </cell>
          <cell r="DW15">
            <v>17.789436377945101</v>
          </cell>
          <cell r="DX15">
            <v>309.84305217170555</v>
          </cell>
          <cell r="DY15">
            <v>199.93463013860855</v>
          </cell>
          <cell r="DZ15">
            <v>207.45097967216449</v>
          </cell>
          <cell r="EA15">
            <v>2</v>
          </cell>
          <cell r="EB15">
            <v>7.0053036290048203</v>
          </cell>
          <cell r="EC15">
            <v>13.130609567208898</v>
          </cell>
          <cell r="ED15">
            <v>7.6982539813565438</v>
          </cell>
          <cell r="EE15">
            <v>2.2456578558171572</v>
          </cell>
          <cell r="EF15">
            <v>2.4459246087140514</v>
          </cell>
          <cell r="EG15">
            <v>2.8250429230647285</v>
          </cell>
          <cell r="EH15">
            <v>213.63489641631168</v>
          </cell>
          <cell r="EI15">
            <v>81.102903897708643</v>
          </cell>
          <cell r="EJ15">
            <v>67.074105062123408</v>
          </cell>
          <cell r="EK15">
            <v>59.557755528567469</v>
          </cell>
          <cell r="EL15">
            <v>210.55882520755227</v>
          </cell>
          <cell r="EM15">
            <v>80.205583090713645</v>
          </cell>
          <cell r="EN15">
            <v>66.096761591008743</v>
          </cell>
          <cell r="EO15">
            <v>58.428923819430018</v>
          </cell>
          <cell r="EP15">
            <v>19.382342458526765</v>
          </cell>
          <cell r="EQ15">
            <v>12.763554488866742</v>
          </cell>
          <cell r="ER15">
            <v>16.329863636229902</v>
          </cell>
          <cell r="ES15">
            <v>3.9326064346585845</v>
          </cell>
          <cell r="ET15">
            <v>2.2821981955952149</v>
          </cell>
          <cell r="EU15">
            <v>11.660852437246763</v>
          </cell>
          <cell r="EV15">
            <v>0.39287443948922096</v>
          </cell>
          <cell r="EW15">
            <v>0.48235398200456991</v>
          </cell>
          <cell r="EX15">
            <v>0.48235398200456991</v>
          </cell>
          <cell r="EY15">
            <v>0.75928962644487186</v>
          </cell>
          <cell r="EZ15">
            <v>47.246738508002075</v>
          </cell>
          <cell r="FA15">
            <v>29.828827888404227</v>
          </cell>
          <cell r="FB15">
            <v>22.800506456710949</v>
          </cell>
          <cell r="FC15">
            <v>16.234259145116326</v>
          </cell>
          <cell r="FD15">
            <v>47.089753592344969</v>
          </cell>
          <cell r="FE15">
            <v>29.636088703639992</v>
          </cell>
          <cell r="FF15">
            <v>22.607767271946717</v>
          </cell>
          <cell r="FG15">
            <v>15.930861911838097</v>
          </cell>
          <cell r="FH15">
            <v>9.6809975794954752</v>
          </cell>
          <cell r="FI15">
            <v>8.7741270634826432</v>
          </cell>
          <cell r="FJ15">
            <v>4.1948021923138947</v>
          </cell>
          <cell r="FK15">
            <v>2.4782128322026349</v>
          </cell>
          <cell r="FL15">
            <v>2.2673741079604066</v>
          </cell>
          <cell r="FM15">
            <v>2.0715272363955588</v>
          </cell>
          <cell r="FN15">
            <v>0.11362794380139762</v>
          </cell>
          <cell r="FO15">
            <v>0.13012241017280646</v>
          </cell>
          <cell r="FP15">
            <v>0.13012241017280646</v>
          </cell>
          <cell r="FQ15">
            <v>0.13012241017280646</v>
          </cell>
          <cell r="FR15">
            <v>12.217123123351314</v>
          </cell>
          <cell r="FS15">
            <v>4.8003025675291227</v>
          </cell>
          <cell r="FT15">
            <v>3.1952406386919705</v>
          </cell>
          <cell r="FU15">
            <v>2.0583217724323211</v>
          </cell>
          <cell r="FV15">
            <v>12.171719627015069</v>
          </cell>
          <cell r="FW15">
            <v>4.7483082061432418</v>
          </cell>
          <cell r="FX15">
            <v>3.1432462773060892</v>
          </cell>
          <cell r="FY15">
            <v>2.0063274110464402</v>
          </cell>
          <cell r="FZ15">
            <v>2.6439337163284975</v>
          </cell>
          <cell r="GA15">
            <v>2.709013655320736</v>
          </cell>
          <cell r="GB15">
            <v>2.250305237919255</v>
          </cell>
          <cell r="GC15">
            <v>4.0725013158439927</v>
          </cell>
          <cell r="GD15">
            <v>3.1029311350404556</v>
          </cell>
          <cell r="GE15">
            <v>2.5697982054341972</v>
          </cell>
          <cell r="GF15">
            <v>0.15971226143741468</v>
          </cell>
          <cell r="GG15">
            <v>0.18289642228068104</v>
          </cell>
          <cell r="GH15">
            <v>0.18289642228068104</v>
          </cell>
          <cell r="GI15">
            <v>0.18289642228068104</v>
          </cell>
          <cell r="GJ15">
            <v>4.6783709306419929</v>
          </cell>
          <cell r="GK15">
            <v>2.2800419730581618</v>
          </cell>
          <cell r="GL15">
            <v>1.6112661693760151</v>
          </cell>
          <cell r="GM15">
            <v>1.1431231067985124</v>
          </cell>
          <cell r="GN15">
            <v>4.6145530454068115</v>
          </cell>
          <cell r="GO15">
            <v>2.2069601521510833</v>
          </cell>
          <cell r="GP15">
            <v>1.538184348468937</v>
          </cell>
          <cell r="GQ15">
            <v>1.0700412858914343</v>
          </cell>
        </row>
        <row r="16">
          <cell r="A16" t="str">
            <v>Mean Std. Error</v>
          </cell>
          <cell r="B16">
            <v>2.0659431086987746E-2</v>
          </cell>
          <cell r="C16">
            <v>1.610473527548506E-2</v>
          </cell>
          <cell r="D16">
            <v>1.5377965512154987E-2</v>
          </cell>
          <cell r="E16">
            <v>5.6223707678121126E-2</v>
          </cell>
          <cell r="F16">
            <v>9.2721656833673879E-2</v>
          </cell>
          <cell r="G16">
            <v>2.6156252384584695E-2</v>
          </cell>
          <cell r="H16">
            <v>2.6215510170324581E-3</v>
          </cell>
          <cell r="I16">
            <v>2.9442048147107483E-3</v>
          </cell>
          <cell r="J16">
            <v>3.4912185987070392E-3</v>
          </cell>
          <cell r="K16">
            <v>3.6196363742803024E-3</v>
          </cell>
          <cell r="L16">
            <v>6.7617959897253901E-2</v>
          </cell>
          <cell r="M16">
            <v>4.8324757915869633E-2</v>
          </cell>
          <cell r="N16">
            <v>3.3796059769865806E-2</v>
          </cell>
          <cell r="O16">
            <v>2.9230055256235916E-2</v>
          </cell>
          <cell r="P16">
            <v>6.6740010080273762E-2</v>
          </cell>
          <cell r="Q16">
            <v>4.7309374234118108E-2</v>
          </cell>
          <cell r="R16">
            <v>3.2525194785956203E-2</v>
          </cell>
          <cell r="S16">
            <v>2.7878738387962461E-2</v>
          </cell>
          <cell r="T16">
            <v>2.0332894493662261E-2</v>
          </cell>
          <cell r="U16">
            <v>1.6005768655281468E-2</v>
          </cell>
          <cell r="V16">
            <v>1.5333217471505865E-2</v>
          </cell>
          <cell r="W16">
            <v>5.6383562520921256E-2</v>
          </cell>
          <cell r="X16">
            <v>9.2330243867894735E-2</v>
          </cell>
          <cell r="Y16">
            <v>2.5859438570199445E-2</v>
          </cell>
          <cell r="Z16">
            <v>2.6215510170324581E-3</v>
          </cell>
          <cell r="AA16">
            <v>2.9442048147107483E-3</v>
          </cell>
          <cell r="AB16">
            <v>3.4912185987070392E-3</v>
          </cell>
          <cell r="AC16">
            <v>3.6196363742803024E-3</v>
          </cell>
          <cell r="AD16">
            <v>6.7617959897253901E-2</v>
          </cell>
          <cell r="AE16">
            <v>4.8324757915869633E-2</v>
          </cell>
          <cell r="AF16">
            <v>3.3796059769865806E-2</v>
          </cell>
          <cell r="AG16">
            <v>2.9230055256235916E-2</v>
          </cell>
          <cell r="AH16">
            <v>6.6740010080273762E-2</v>
          </cell>
          <cell r="AI16">
            <v>4.7309374234118108E-2</v>
          </cell>
          <cell r="AJ16">
            <v>3.2525194785956203E-2</v>
          </cell>
          <cell r="AK16">
            <v>2.7878738387962461E-2</v>
          </cell>
          <cell r="AL16">
            <v>0.26194747060287132</v>
          </cell>
          <cell r="AM16">
            <v>1.3275197447625618E-2</v>
          </cell>
          <cell r="AN16">
            <v>2.7077314255843223E-2</v>
          </cell>
          <cell r="AO16">
            <v>2.0119708169118896E-2</v>
          </cell>
          <cell r="AP16">
            <v>4.4632629366016446E-2</v>
          </cell>
          <cell r="AQ16">
            <v>0.10356392358163651</v>
          </cell>
          <cell r="AR16">
            <v>5.9179256279536189E-3</v>
          </cell>
          <cell r="AS16">
            <v>8.720639580466252E-3</v>
          </cell>
          <cell r="AT16">
            <v>8.8378262265643489E-3</v>
          </cell>
          <cell r="AU16">
            <v>1.1874913471273237E-2</v>
          </cell>
          <cell r="AV16">
            <v>0.53413864406334421</v>
          </cell>
          <cell r="AW16">
            <v>0.13987238358594339</v>
          </cell>
          <cell r="AX16">
            <v>0.1378079572634083</v>
          </cell>
          <cell r="AY16">
            <v>0.11667424536387597</v>
          </cell>
          <cell r="AZ16">
            <v>0.53223046013382858</v>
          </cell>
          <cell r="BA16">
            <v>0.13685926117727021</v>
          </cell>
          <cell r="BB16">
            <v>0.1347472355418185</v>
          </cell>
          <cell r="BC16">
            <v>0.11235976380603049</v>
          </cell>
          <cell r="BD16">
            <v>0</v>
          </cell>
          <cell r="BE16">
            <v>4.9259713218149363E-2</v>
          </cell>
          <cell r="BF16" t="str">
            <v>---</v>
          </cell>
          <cell r="BG16">
            <v>0</v>
          </cell>
          <cell r="BH16">
            <v>1.7457054412149613E-2</v>
          </cell>
          <cell r="BI16" t="str">
            <v>---</v>
          </cell>
          <cell r="BJ16">
            <v>7.1779979169253993E-2</v>
          </cell>
          <cell r="BK16">
            <v>7.1779979169253993E-2</v>
          </cell>
          <cell r="BL16">
            <v>5.7340575657384298E-2</v>
          </cell>
          <cell r="BM16">
            <v>0</v>
          </cell>
          <cell r="BN16">
            <v>0.19293172345866549</v>
          </cell>
          <cell r="BO16">
            <v>0.19293172345866549</v>
          </cell>
          <cell r="BP16">
            <v>0.17166370766444117</v>
          </cell>
          <cell r="BQ16">
            <v>0</v>
          </cell>
          <cell r="BR16">
            <v>0.15619926654027094</v>
          </cell>
          <cell r="BS16">
            <v>0.15612995969301446</v>
          </cell>
          <cell r="BT16">
            <v>0.14344216715993874</v>
          </cell>
          <cell r="BU16">
            <v>0</v>
          </cell>
          <cell r="BV16">
            <v>0.11278717843841272</v>
          </cell>
          <cell r="BW16">
            <v>7.6095037417606273E-2</v>
          </cell>
          <cell r="BX16">
            <v>8.8186991646210411E-2</v>
          </cell>
          <cell r="BY16">
            <v>4.157325251813717E-2</v>
          </cell>
          <cell r="BZ16">
            <v>2.4433599045694494E-2</v>
          </cell>
          <cell r="CA16">
            <v>8.1720725467006469E-2</v>
          </cell>
          <cell r="CB16">
            <v>3.2941301400473367E-3</v>
          </cell>
          <cell r="CC16">
            <v>4.0443883098093252E-3</v>
          </cell>
          <cell r="CD16">
            <v>4.0443883098093252E-3</v>
          </cell>
          <cell r="CE16">
            <v>6.3664076664013925E-3</v>
          </cell>
          <cell r="CF16">
            <v>0.28000759829708605</v>
          </cell>
          <cell r="CG16">
            <v>0.17683462025443877</v>
          </cell>
          <cell r="CH16">
            <v>0.13520271742024997</v>
          </cell>
          <cell r="CI16">
            <v>9.6459889648956534E-2</v>
          </cell>
          <cell r="CJ16">
            <v>0.27902095201942712</v>
          </cell>
          <cell r="CK16">
            <v>0.17560273845998775</v>
          </cell>
          <cell r="CL16">
            <v>0.13395782024813288</v>
          </cell>
          <cell r="CM16">
            <v>9.4395147946870886E-2</v>
          </cell>
          <cell r="CN16">
            <v>6.4617722433504499E-2</v>
          </cell>
          <cell r="CO16">
            <v>5.8672098302182875E-2</v>
          </cell>
          <cell r="CP16">
            <v>2.3826216511837705E-2</v>
          </cell>
          <cell r="CQ16">
            <v>2.8179927393820112E-2</v>
          </cell>
          <cell r="CR16">
            <v>2.9370347582154191E-2</v>
          </cell>
          <cell r="CS16">
            <v>2.3912704699031395E-2</v>
          </cell>
          <cell r="CT16">
            <v>9.5273501354382515E-4</v>
          </cell>
          <cell r="CU16">
            <v>1.0910359905396754E-3</v>
          </cell>
          <cell r="CV16">
            <v>1.0910359905396754E-3</v>
          </cell>
          <cell r="CW16">
            <v>1.0910359905396754E-3</v>
          </cell>
          <cell r="CX16">
            <v>7.7185475819473451E-2</v>
          </cell>
          <cell r="CY16">
            <v>3.0354760638055315E-2</v>
          </cell>
          <cell r="CZ16">
            <v>2.0225879395866373E-2</v>
          </cell>
          <cell r="DA16">
            <v>1.3059559652955513E-2</v>
          </cell>
          <cell r="DB16">
            <v>7.6877733130441939E-2</v>
          </cell>
          <cell r="DC16">
            <v>2.9990764023414149E-2</v>
          </cell>
          <cell r="DD16">
            <v>1.9853040973245997E-2</v>
          </cell>
          <cell r="DE16">
            <v>1.2672153812710208E-2</v>
          </cell>
          <cell r="DF16">
            <v>0.28562002225822009</v>
          </cell>
          <cell r="DG16">
            <v>1.4600418086305319E-2</v>
          </cell>
          <cell r="DH16">
            <v>2.8614624580274469E-2</v>
          </cell>
          <cell r="DI16">
            <v>1.9907893103355924E-2</v>
          </cell>
          <cell r="DJ16">
            <v>4.4701465887183614E-2</v>
          </cell>
          <cell r="DK16">
            <v>0.10372754366976281</v>
          </cell>
          <cell r="DL16">
            <v>5.9179256279536189E-3</v>
          </cell>
          <cell r="DM16">
            <v>8.720639580466252E-3</v>
          </cell>
          <cell r="DN16">
            <v>8.8378262265643489E-3</v>
          </cell>
          <cell r="DO16">
            <v>1.1874913471273237E-2</v>
          </cell>
          <cell r="DP16">
            <v>0.53413864406334421</v>
          </cell>
          <cell r="DQ16">
            <v>0.13987238358594339</v>
          </cell>
          <cell r="DR16">
            <v>0.1378079572634083</v>
          </cell>
          <cell r="DS16">
            <v>0.11667424536387597</v>
          </cell>
          <cell r="DT16">
            <v>0.53223046013382858</v>
          </cell>
          <cell r="DU16">
            <v>0.13685926117727021</v>
          </cell>
          <cell r="DV16">
            <v>0.1347472355418185</v>
          </cell>
          <cell r="DW16">
            <v>0.11235976380603049</v>
          </cell>
          <cell r="DX16">
            <v>3.5860409799579664</v>
          </cell>
          <cell r="DY16">
            <v>2.1627867969760075</v>
          </cell>
          <cell r="DZ16">
            <v>2.1699153161541038</v>
          </cell>
          <cell r="EA16">
            <v>3.0986386626325788E-2</v>
          </cell>
          <cell r="EB16">
            <v>8.7085914992941146E-2</v>
          </cell>
          <cell r="EC16">
            <v>0.16323220364652594</v>
          </cell>
          <cell r="ED16">
            <v>6.4547468393961735E-2</v>
          </cell>
          <cell r="EE16">
            <v>1.8829143572432101E-2</v>
          </cell>
          <cell r="EF16">
            <v>2.0508318088404098E-2</v>
          </cell>
          <cell r="EG16">
            <v>2.3687107392106638E-2</v>
          </cell>
          <cell r="EH16">
            <v>1.2399210366119049</v>
          </cell>
          <cell r="EI16">
            <v>0.47046269093080034</v>
          </cell>
          <cell r="EJ16">
            <v>0.38930532395626422</v>
          </cell>
          <cell r="EK16">
            <v>0.34599674686042931</v>
          </cell>
          <cell r="EL16">
            <v>1.2204105138830352</v>
          </cell>
          <cell r="EM16">
            <v>0.46487596413752907</v>
          </cell>
          <cell r="EN16">
            <v>0.38310045992978031</v>
          </cell>
          <cell r="EO16">
            <v>0.33865725112122125</v>
          </cell>
          <cell r="EP16">
            <v>0.11051521193608017</v>
          </cell>
          <cell r="EQ16">
            <v>7.5305737419827615E-2</v>
          </cell>
          <cell r="ER16">
            <v>8.6395177027937878E-2</v>
          </cell>
          <cell r="ES16">
            <v>4.218943439863071E-2</v>
          </cell>
          <cell r="ET16">
            <v>2.4460492038144543E-2</v>
          </cell>
          <cell r="EU16">
            <v>7.6700431694889215E-2</v>
          </cell>
          <cell r="EV16">
            <v>3.2941301400473367E-3</v>
          </cell>
          <cell r="EW16">
            <v>4.0443883098093252E-3</v>
          </cell>
          <cell r="EX16">
            <v>4.0443883098093252E-3</v>
          </cell>
          <cell r="EY16">
            <v>6.3664076664013925E-3</v>
          </cell>
          <cell r="EZ16">
            <v>0.28000759829708605</v>
          </cell>
          <cell r="FA16">
            <v>0.17683462025443877</v>
          </cell>
          <cell r="FB16">
            <v>0.13520271742024997</v>
          </cell>
          <cell r="FC16">
            <v>9.6459889648956534E-2</v>
          </cell>
          <cell r="FD16">
            <v>0.2789201232635321</v>
          </cell>
          <cell r="FE16">
            <v>0.17553928155640208</v>
          </cell>
          <cell r="FF16">
            <v>0.1339094124125913</v>
          </cell>
          <cell r="FG16">
            <v>9.4361036725971029E-2</v>
          </cell>
          <cell r="FH16">
            <v>6.4080348617294822E-2</v>
          </cell>
          <cell r="FI16">
            <v>5.8226844389734932E-2</v>
          </cell>
          <cell r="FJ16">
            <v>2.363162268452302E-2</v>
          </cell>
          <cell r="FK16">
            <v>2.8222666407728809E-2</v>
          </cell>
          <cell r="FL16">
            <v>2.9389619061097636E-2</v>
          </cell>
          <cell r="FM16">
            <v>2.3914172103916893E-2</v>
          </cell>
          <cell r="FN16">
            <v>9.5273501354382515E-4</v>
          </cell>
          <cell r="FO16">
            <v>1.0910359905396754E-3</v>
          </cell>
          <cell r="FP16">
            <v>1.0910359905396754E-3</v>
          </cell>
          <cell r="FQ16">
            <v>1.0910359905396754E-3</v>
          </cell>
          <cell r="FR16">
            <v>7.7185475819473451E-2</v>
          </cell>
          <cell r="FS16">
            <v>3.0354760638055315E-2</v>
          </cell>
          <cell r="FT16">
            <v>2.0225879395866373E-2</v>
          </cell>
          <cell r="FU16">
            <v>1.3059559652955513E-2</v>
          </cell>
          <cell r="FV16">
            <v>7.6877733130441939E-2</v>
          </cell>
          <cell r="FW16">
            <v>2.9990764023414149E-2</v>
          </cell>
          <cell r="FX16">
            <v>1.9853040973245997E-2</v>
          </cell>
          <cell r="FY16">
            <v>1.2672153812710208E-2</v>
          </cell>
          <cell r="FZ16">
            <v>1.5629125902605324E-2</v>
          </cell>
          <cell r="GA16">
            <v>1.6969364109419759E-2</v>
          </cell>
          <cell r="GB16">
            <v>1.4333963410114206E-2</v>
          </cell>
          <cell r="GC16">
            <v>4.301979633678929E-2</v>
          </cell>
          <cell r="GD16">
            <v>3.5970667872541828E-2</v>
          </cell>
          <cell r="GE16">
            <v>3.4323336322862323E-2</v>
          </cell>
          <cell r="GF16">
            <v>1.3391377021628242E-3</v>
          </cell>
          <cell r="GG16">
            <v>1.5335296893452914E-3</v>
          </cell>
          <cell r="GH16">
            <v>1.5335296893452914E-3</v>
          </cell>
          <cell r="GI16">
            <v>1.5335296893452914E-3</v>
          </cell>
          <cell r="GJ16">
            <v>2.9598329463807371E-2</v>
          </cell>
          <cell r="GK16">
            <v>1.4499311916229812E-2</v>
          </cell>
          <cell r="GL16">
            <v>1.0305271023194198E-2</v>
          </cell>
          <cell r="GM16">
            <v>7.3898113040396438E-3</v>
          </cell>
          <cell r="GN16">
            <v>2.9145953769233485E-2</v>
          </cell>
          <cell r="GO16">
            <v>1.393936919398123E-2</v>
          </cell>
          <cell r="GP16">
            <v>9.7153179230778219E-3</v>
          </cell>
          <cell r="GQ16">
            <v>6.7584820334454423E-3</v>
          </cell>
        </row>
        <row r="17">
          <cell r="A17" t="str">
            <v>Calculated Mean</v>
          </cell>
          <cell r="B17">
            <v>0.33115811986526494</v>
          </cell>
          <cell r="C17">
            <v>0.11557002818366899</v>
          </cell>
          <cell r="D17">
            <v>0.23219253033049422</v>
          </cell>
          <cell r="E17">
            <v>2.0748898915841352</v>
          </cell>
          <cell r="F17">
            <v>4.5040155412250336</v>
          </cell>
          <cell r="G17">
            <v>3.8740902954146952</v>
          </cell>
          <cell r="H17">
            <v>8.477775854559054</v>
          </cell>
          <cell r="I17">
            <v>9.5211988349118002</v>
          </cell>
          <cell r="J17">
            <v>11.290174612970143</v>
          </cell>
          <cell r="K17">
            <v>11.705462017250229</v>
          </cell>
          <cell r="L17">
            <v>16.531087342217706</v>
          </cell>
          <cell r="M17">
            <v>15.229875332492549</v>
          </cell>
          <cell r="N17">
            <v>15.21488970505696</v>
          </cell>
          <cell r="O17">
            <v>15.069503524753225</v>
          </cell>
          <cell r="P17">
            <v>8.0533114876586662</v>
          </cell>
          <cell r="Q17">
            <v>5.7086764975808189</v>
          </cell>
          <cell r="R17">
            <v>3.9247150920868212</v>
          </cell>
          <cell r="S17">
            <v>3.3640415075029861</v>
          </cell>
          <cell r="T17">
            <v>0.32749111842405515</v>
          </cell>
          <cell r="U17">
            <v>0.128056577013867</v>
          </cell>
          <cell r="V17">
            <v>0.24019398967852829</v>
          </cell>
          <cell r="W17">
            <v>2.0852763008608299</v>
          </cell>
          <cell r="X17">
            <v>4.4801876157635316</v>
          </cell>
          <cell r="Y17">
            <v>3.8721870302191874</v>
          </cell>
          <cell r="Z17">
            <v>8.477775854559054</v>
          </cell>
          <cell r="AA17">
            <v>9.5211988349118002</v>
          </cell>
          <cell r="AB17">
            <v>11.290174612970143</v>
          </cell>
          <cell r="AC17">
            <v>11.705462017250229</v>
          </cell>
          <cell r="AD17">
            <v>16.531087342217706</v>
          </cell>
          <cell r="AE17">
            <v>15.229875332492549</v>
          </cell>
          <cell r="AF17">
            <v>15.21488970505696</v>
          </cell>
          <cell r="AG17">
            <v>15.069503524753225</v>
          </cell>
          <cell r="AH17">
            <v>8.0533114876586662</v>
          </cell>
          <cell r="AI17">
            <v>5.7086764975808189</v>
          </cell>
          <cell r="AJ17">
            <v>3.9247150920868212</v>
          </cell>
          <cell r="AK17">
            <v>3.3640415075029861</v>
          </cell>
          <cell r="AL17">
            <v>1.833330230351186</v>
          </cell>
          <cell r="AM17">
            <v>-3.2499668417220802E-2</v>
          </cell>
          <cell r="AN17">
            <v>-7.1530951193575572</v>
          </cell>
          <cell r="AO17">
            <v>0.91303638390610553</v>
          </cell>
          <cell r="AP17">
            <v>6.9656952344951648</v>
          </cell>
          <cell r="AQ17">
            <v>16.162294982475622</v>
          </cell>
          <cell r="AR17">
            <v>19.137848804687227</v>
          </cell>
          <cell r="AS17">
            <v>28.201483469613123</v>
          </cell>
          <cell r="AT17">
            <v>28.580450772676297</v>
          </cell>
          <cell r="AU17">
            <v>38.402020043728605</v>
          </cell>
          <cell r="AV17">
            <v>83.360459402471534</v>
          </cell>
          <cell r="AW17">
            <v>44.715869051900619</v>
          </cell>
          <cell r="AX17">
            <v>44.839984725607501</v>
          </cell>
          <cell r="AY17">
            <v>51.960126725483192</v>
          </cell>
          <cell r="AZ17">
            <v>64.222610597784268</v>
          </cell>
          <cell r="BA17">
            <v>16.514385582287389</v>
          </cell>
          <cell r="BB17">
            <v>16.259533952931079</v>
          </cell>
          <cell r="BC17">
            <v>13.558106681754452</v>
          </cell>
          <cell r="BD17">
            <v>0</v>
          </cell>
          <cell r="BE17">
            <v>4.6633482196013718</v>
          </cell>
          <cell r="BF17">
            <v>0</v>
          </cell>
          <cell r="BG17">
            <v>0</v>
          </cell>
          <cell r="BH17">
            <v>0</v>
          </cell>
          <cell r="BI17">
            <v>0</v>
          </cell>
          <cell r="BJ17">
            <v>19.922366326155235</v>
          </cell>
          <cell r="BK17">
            <v>19.922366326155235</v>
          </cell>
          <cell r="BL17">
            <v>15.914743453817318</v>
          </cell>
          <cell r="BM17">
            <v>0</v>
          </cell>
          <cell r="BN17">
            <v>29.770489874216988</v>
          </cell>
          <cell r="BO17">
            <v>29.770489874216988</v>
          </cell>
          <cell r="BP17">
            <v>24.675199566445361</v>
          </cell>
          <cell r="BQ17">
            <v>0</v>
          </cell>
          <cell r="BR17">
            <v>9.849855862125656</v>
          </cell>
          <cell r="BS17">
            <v>9.8430543605081677</v>
          </cell>
          <cell r="BT17">
            <v>8.7618399509460509</v>
          </cell>
          <cell r="BU17">
            <v>0</v>
          </cell>
          <cell r="BV17">
            <v>1.5076548337936193</v>
          </cell>
          <cell r="BW17">
            <v>4.2019959463743941</v>
          </cell>
          <cell r="BX17">
            <v>0.31237211459451303</v>
          </cell>
          <cell r="BY17">
            <v>1.4922364882177965</v>
          </cell>
          <cell r="BZ17">
            <v>4.4366695061804309E-2</v>
          </cell>
          <cell r="CA17">
            <v>7.9334643037948451</v>
          </cell>
          <cell r="CB17">
            <v>10.652814605409088</v>
          </cell>
          <cell r="CC17">
            <v>13.079057907549307</v>
          </cell>
          <cell r="CD17">
            <v>13.079057907549307</v>
          </cell>
          <cell r="CE17">
            <v>20.588184949989291</v>
          </cell>
          <cell r="CF17">
            <v>41.993508480358472</v>
          </cell>
          <cell r="CG17">
            <v>32.803424948251319</v>
          </cell>
          <cell r="CH17">
            <v>28.125709444527491</v>
          </cell>
          <cell r="CI17">
            <v>31.191006758429928</v>
          </cell>
          <cell r="CJ17">
            <v>31.340693874949419</v>
          </cell>
          <cell r="CK17">
            <v>19.724367040701978</v>
          </cell>
          <cell r="CL17">
            <v>15.046651536978183</v>
          </cell>
          <cell r="CM17">
            <v>10.60282180844059</v>
          </cell>
          <cell r="CN17">
            <v>0.88033646985818992</v>
          </cell>
          <cell r="CO17">
            <v>0.90439882280785344</v>
          </cell>
          <cell r="CP17">
            <v>0.97463425337462795</v>
          </cell>
          <cell r="CQ17">
            <v>0.36973675438639148</v>
          </cell>
          <cell r="CR17">
            <v>0.14057227074324213</v>
          </cell>
          <cell r="CS17">
            <v>1.1326967996234496E-2</v>
          </cell>
          <cell r="CT17">
            <v>3.0810286891757155</v>
          </cell>
          <cell r="CU17">
            <v>3.5282771599548841</v>
          </cell>
          <cell r="CV17">
            <v>3.5282771599548841</v>
          </cell>
          <cell r="CW17">
            <v>3.5282771599548841</v>
          </cell>
          <cell r="CX17">
            <v>12.357627997744586</v>
          </cell>
          <cell r="CY17">
            <v>7.1471702968141724</v>
          </cell>
          <cell r="CZ17">
            <v>5.9238824759039899</v>
          </cell>
          <cell r="DA17">
            <v>5.0573869360926222</v>
          </cell>
          <cell r="DB17">
            <v>9.2765993085688354</v>
          </cell>
          <cell r="DC17">
            <v>3.6188931368592776</v>
          </cell>
          <cell r="DD17">
            <v>2.3956053159490969</v>
          </cell>
          <cell r="DE17">
            <v>1.5291097761377221</v>
          </cell>
          <cell r="DF17">
            <v>1.9633901887370195</v>
          </cell>
          <cell r="DG17">
            <v>-2.5996670497929135E-2</v>
          </cell>
          <cell r="DH17">
            <v>-7.1465921214382639</v>
          </cell>
          <cell r="DI17">
            <v>0.88148392046680613</v>
          </cell>
          <cell r="DJ17">
            <v>6.9662309086747563</v>
          </cell>
          <cell r="DK17">
            <v>16.163569763917661</v>
          </cell>
          <cell r="DL17">
            <v>19.137848804687227</v>
          </cell>
          <cell r="DM17">
            <v>28.201483469613123</v>
          </cell>
          <cell r="DN17">
            <v>28.580450772676297</v>
          </cell>
          <cell r="DO17">
            <v>38.402020043728605</v>
          </cell>
          <cell r="DP17">
            <v>83.360459402471534</v>
          </cell>
          <cell r="DQ17">
            <v>44.715869051900619</v>
          </cell>
          <cell r="DR17">
            <v>44.839984725607501</v>
          </cell>
          <cell r="DS17">
            <v>51.960126725483192</v>
          </cell>
          <cell r="DT17">
            <v>64.222610597784268</v>
          </cell>
          <cell r="DU17">
            <v>16.514385582287389</v>
          </cell>
          <cell r="DV17">
            <v>16.259533952931079</v>
          </cell>
          <cell r="DW17">
            <v>13.558106681754452</v>
          </cell>
          <cell r="DX17">
            <v>137.18872359631914</v>
          </cell>
          <cell r="DY17">
            <v>85.600805816645305</v>
          </cell>
          <cell r="DZ17">
            <v>80.059036829737494</v>
          </cell>
          <cell r="EA17">
            <v>0</v>
          </cell>
          <cell r="EB17">
            <v>2.170454029546999</v>
          </cell>
          <cell r="EC17">
            <v>4.068258273282801</v>
          </cell>
          <cell r="ED17">
            <v>208.73863047787694</v>
          </cell>
          <cell r="EE17">
            <v>60.891150964930056</v>
          </cell>
          <cell r="EF17">
            <v>66.3213962947396</v>
          </cell>
          <cell r="EG17">
            <v>76.601212720424869</v>
          </cell>
          <cell r="EH17">
            <v>338.89144601354394</v>
          </cell>
          <cell r="EI17">
            <v>110.46866190823272</v>
          </cell>
          <cell r="EJ17">
            <v>107.17781544686835</v>
          </cell>
          <cell r="EK17">
            <v>112.71790807300225</v>
          </cell>
          <cell r="EL17">
            <v>130.15281553566746</v>
          </cell>
          <cell r="EM17">
            <v>49.57751094330235</v>
          </cell>
          <cell r="EN17">
            <v>40.856419152128709</v>
          </cell>
          <cell r="EO17">
            <v>36.116695352577899</v>
          </cell>
          <cell r="EP17">
            <v>1.4848396898402196</v>
          </cell>
          <cell r="EQ17">
            <v>4.1706464382068615</v>
          </cell>
          <cell r="ER17">
            <v>0.28699869006255641</v>
          </cell>
          <cell r="ES17">
            <v>1.5348594561836726</v>
          </cell>
          <cell r="ET17">
            <v>4.5903970786744179E-2</v>
          </cell>
          <cell r="EU17">
            <v>7.8964390933819599</v>
          </cell>
          <cell r="EV17">
            <v>10.652814605409088</v>
          </cell>
          <cell r="EW17">
            <v>13.079057907549307</v>
          </cell>
          <cell r="EX17">
            <v>13.079057907549307</v>
          </cell>
          <cell r="EY17">
            <v>20.588184949989291</v>
          </cell>
          <cell r="EZ17">
            <v>41.993508480358472</v>
          </cell>
          <cell r="FA17">
            <v>32.803424948251319</v>
          </cell>
          <cell r="FB17">
            <v>28.125709444527491</v>
          </cell>
          <cell r="FC17">
            <v>31.191006758429928</v>
          </cell>
          <cell r="FD17">
            <v>31.33066250790295</v>
          </cell>
          <cell r="FE17">
            <v>19.71805376741154</v>
          </cell>
          <cell r="FF17">
            <v>15.041835482649903</v>
          </cell>
          <cell r="FG17">
            <v>10.599428112126363</v>
          </cell>
          <cell r="FH17">
            <v>0.86948997628734825</v>
          </cell>
          <cell r="FI17">
            <v>0.89402483755903839</v>
          </cell>
          <cell r="FJ17">
            <v>0.96761158458642715</v>
          </cell>
          <cell r="FK17">
            <v>0.37321795465571667</v>
          </cell>
          <cell r="FL17">
            <v>0.14189580761363832</v>
          </cell>
          <cell r="FM17">
            <v>1.1433615343492597E-2</v>
          </cell>
          <cell r="FN17">
            <v>3.0810286891757155</v>
          </cell>
          <cell r="FO17">
            <v>3.5282771599548841</v>
          </cell>
          <cell r="FP17">
            <v>3.5282771599548841</v>
          </cell>
          <cell r="FQ17">
            <v>3.5282771599548841</v>
          </cell>
          <cell r="FR17">
            <v>12.357627997744586</v>
          </cell>
          <cell r="FS17">
            <v>7.1471702968141724</v>
          </cell>
          <cell r="FT17">
            <v>5.9238824759039899</v>
          </cell>
          <cell r="FU17">
            <v>5.0573869360926222</v>
          </cell>
          <cell r="FV17">
            <v>9.2765993085688354</v>
          </cell>
          <cell r="FW17">
            <v>3.6188931368592776</v>
          </cell>
          <cell r="FX17">
            <v>2.3956053159490969</v>
          </cell>
          <cell r="FY17">
            <v>1.5291097761377221</v>
          </cell>
          <cell r="FZ17">
            <v>0.20755459787197675</v>
          </cell>
          <cell r="GA17">
            <v>0.26884533548963491</v>
          </cell>
          <cell r="GB17">
            <v>0.30082777184047949</v>
          </cell>
          <cell r="GC17">
            <v>1.6028840163094622</v>
          </cell>
          <cell r="GD17">
            <v>0.58004888019769285</v>
          </cell>
          <cell r="GE17">
            <v>0.17837253781803433</v>
          </cell>
          <cell r="GF17">
            <v>4.3306077980419797</v>
          </cell>
          <cell r="GG17">
            <v>4.959247746129158</v>
          </cell>
          <cell r="GH17">
            <v>4.959247746129158</v>
          </cell>
          <cell r="GI17">
            <v>4.959247746129158</v>
          </cell>
          <cell r="GJ17">
            <v>7.8475602831587521</v>
          </cell>
          <cell r="GK17">
            <v>6.6412684998806917</v>
          </cell>
          <cell r="GL17">
            <v>6.1315652411681034</v>
          </cell>
          <cell r="GM17">
            <v>5.7747729600693063</v>
          </cell>
          <cell r="GN17">
            <v>3.5169524851167555</v>
          </cell>
          <cell r="GO17">
            <v>1.6820207537514931</v>
          </cell>
          <cell r="GP17">
            <v>1.1723174950389201</v>
          </cell>
          <cell r="GQ17">
            <v>0.81552521394011879</v>
          </cell>
        </row>
        <row r="18">
          <cell r="A18" t="str">
            <v>Calculated Median</v>
          </cell>
          <cell r="B18">
            <v>0</v>
          </cell>
          <cell r="C18">
            <v>0</v>
          </cell>
          <cell r="D18">
            <v>0.10344572193101995</v>
          </cell>
          <cell r="E18">
            <v>2.2497748389414758</v>
          </cell>
          <cell r="F18">
            <v>4.6716566254898195</v>
          </cell>
          <cell r="G18">
            <v>3.9664118820347523</v>
          </cell>
          <cell r="H18">
            <v>8.4543349520099671</v>
          </cell>
          <cell r="I18">
            <v>9.4948728859991505</v>
          </cell>
          <cell r="J18">
            <v>11.258957476847984</v>
          </cell>
          <cell r="K18">
            <v>11.673096618689858</v>
          </cell>
          <cell r="L18">
            <v>15.884887894279474</v>
          </cell>
          <cell r="M18">
            <v>14.763059411832629</v>
          </cell>
          <cell r="N18">
            <v>14.869820729303761</v>
          </cell>
          <cell r="O18">
            <v>14.763961118068231</v>
          </cell>
          <cell r="P18">
            <v>7.4388762199542748</v>
          </cell>
          <cell r="Q18">
            <v>5.2731274470561935</v>
          </cell>
          <cell r="R18">
            <v>3.6252751198511342</v>
          </cell>
          <cell r="S18">
            <v>3.1073786741581144</v>
          </cell>
          <cell r="T18">
            <v>0</v>
          </cell>
          <cell r="U18">
            <v>0</v>
          </cell>
          <cell r="V18">
            <v>0.10284649686717687</v>
          </cell>
          <cell r="W18">
            <v>2.2497748389414758</v>
          </cell>
          <cell r="X18">
            <v>4.6716566254898195</v>
          </cell>
          <cell r="Y18">
            <v>3.9312623108499207</v>
          </cell>
          <cell r="Z18">
            <v>8.4543349520099671</v>
          </cell>
          <cell r="AA18">
            <v>9.4948728859991505</v>
          </cell>
          <cell r="AB18">
            <v>11.258957476847984</v>
          </cell>
          <cell r="AC18">
            <v>11.673096618689858</v>
          </cell>
          <cell r="AD18">
            <v>15.884887894279474</v>
          </cell>
          <cell r="AE18">
            <v>14.763059411832629</v>
          </cell>
          <cell r="AF18">
            <v>14.869820729303761</v>
          </cell>
          <cell r="AG18">
            <v>14.763961118068231</v>
          </cell>
          <cell r="AH18">
            <v>7.4388762199542748</v>
          </cell>
          <cell r="AI18">
            <v>5.2731274470561935</v>
          </cell>
          <cell r="AJ18">
            <v>3.6252751198511342</v>
          </cell>
          <cell r="AK18">
            <v>3.1073786741581144</v>
          </cell>
          <cell r="AL18">
            <v>0</v>
          </cell>
          <cell r="AM18">
            <v>-0.13790393367660059</v>
          </cell>
          <cell r="AN18">
            <v>-7.3783627880860614</v>
          </cell>
          <cell r="AO18">
            <v>0.96042406328610863</v>
          </cell>
          <cell r="AP18">
            <v>7.5174098110311496</v>
          </cell>
          <cell r="AQ18">
            <v>17.44341500691835</v>
          </cell>
          <cell r="AR18">
            <v>19.084932986136888</v>
          </cell>
          <cell r="AS18">
            <v>28.123506859109309</v>
          </cell>
          <cell r="AT18">
            <v>28.501426324181331</v>
          </cell>
          <cell r="AU18">
            <v>38.295839127297782</v>
          </cell>
          <cell r="AV18">
            <v>78.39823566685449</v>
          </cell>
          <cell r="AW18">
            <v>43.359416949246778</v>
          </cell>
          <cell r="AX18">
            <v>43.495210517949218</v>
          </cell>
          <cell r="AY18">
            <v>50.776218299739668</v>
          </cell>
          <cell r="AZ18">
            <v>59.322683779382189</v>
          </cell>
          <cell r="BA18">
            <v>15.254404400412561</v>
          </cell>
          <cell r="BB18">
            <v>15.018996925097554</v>
          </cell>
          <cell r="BC18">
            <v>12.523677686758463</v>
          </cell>
          <cell r="BD18">
            <v>0</v>
          </cell>
          <cell r="BE18">
            <v>4.7789207643926161</v>
          </cell>
          <cell r="BF18">
            <v>0</v>
          </cell>
          <cell r="BG18">
            <v>0</v>
          </cell>
          <cell r="BH18">
            <v>0</v>
          </cell>
          <cell r="BI18">
            <v>0</v>
          </cell>
          <cell r="BJ18">
            <v>19.495331400808169</v>
          </cell>
          <cell r="BK18">
            <v>19.495331400808169</v>
          </cell>
          <cell r="BL18">
            <v>15.573611724209666</v>
          </cell>
          <cell r="BM18">
            <v>0</v>
          </cell>
          <cell r="BN18">
            <v>27.850689486857156</v>
          </cell>
          <cell r="BO18">
            <v>27.850689486857156</v>
          </cell>
          <cell r="BP18">
            <v>22.931765395032265</v>
          </cell>
          <cell r="BQ18">
            <v>0</v>
          </cell>
          <cell r="BR18">
            <v>8.6338855572950699</v>
          </cell>
          <cell r="BS18">
            <v>8.6227514525739384</v>
          </cell>
          <cell r="BT18">
            <v>7.5683745229068879</v>
          </cell>
          <cell r="BU18">
            <v>0</v>
          </cell>
          <cell r="BV18">
            <v>0</v>
          </cell>
          <cell r="BW18">
            <v>4.3453901043184864</v>
          </cell>
          <cell r="BX18">
            <v>4.1715692096132143E-2</v>
          </cell>
          <cell r="BY18">
            <v>1.6150447887039174</v>
          </cell>
          <cell r="BZ18">
            <v>0.2358280077124012</v>
          </cell>
          <cell r="CA18">
            <v>7.7380316092810348</v>
          </cell>
          <cell r="CB18">
            <v>10.623359758604558</v>
          </cell>
          <cell r="CC18">
            <v>13.042894540281237</v>
          </cell>
          <cell r="CD18">
            <v>13.042894540281237</v>
          </cell>
          <cell r="CE18">
            <v>20.531258977263178</v>
          </cell>
          <cell r="CF18">
            <v>40.103878266369456</v>
          </cell>
          <cell r="CG18">
            <v>31.561034189400516</v>
          </cell>
          <cell r="CH18">
            <v>27.165318551351014</v>
          </cell>
          <cell r="CI18">
            <v>30.479251116410701</v>
          </cell>
          <cell r="CJ18">
            <v>29.484226304757314</v>
          </cell>
          <cell r="CK18">
            <v>18.555993171899502</v>
          </cell>
          <cell r="CL18">
            <v>14.15536238014468</v>
          </cell>
          <cell r="CM18">
            <v>9.9747631279775959</v>
          </cell>
          <cell r="CN18">
            <v>0</v>
          </cell>
          <cell r="CO18">
            <v>0</v>
          </cell>
          <cell r="CP18">
            <v>0.82038575742685693</v>
          </cell>
          <cell r="CQ18">
            <v>0.39963394961822479</v>
          </cell>
          <cell r="CR18">
            <v>0.22343978160876751</v>
          </cell>
          <cell r="CS18">
            <v>5.9774037962079127E-2</v>
          </cell>
          <cell r="CT18">
            <v>3.07250969852383</v>
          </cell>
          <cell r="CU18">
            <v>3.5185215350726771</v>
          </cell>
          <cell r="CV18">
            <v>3.5185215350726771</v>
          </cell>
          <cell r="CW18">
            <v>3.5185215350726771</v>
          </cell>
          <cell r="CX18">
            <v>11.639551968325403</v>
          </cell>
          <cell r="CY18">
            <v>6.8564720165772508</v>
          </cell>
          <cell r="CZ18">
            <v>5.72949418028605</v>
          </cell>
          <cell r="DA18">
            <v>4.9289146024303152</v>
          </cell>
          <cell r="DB18">
            <v>8.5688321014663167</v>
          </cell>
          <cell r="DC18">
            <v>3.342786149473123</v>
          </cell>
          <cell r="DD18">
            <v>2.2128302679610821</v>
          </cell>
          <cell r="DE18">
            <v>1.4124448518900521</v>
          </cell>
          <cell r="DF18">
            <v>0</v>
          </cell>
          <cell r="DG18">
            <v>-0.13790393367660059</v>
          </cell>
          <cell r="DH18">
            <v>-7.3781892170791963</v>
          </cell>
          <cell r="DI18">
            <v>0.96042406328610863</v>
          </cell>
          <cell r="DJ18">
            <v>7.5174098110311496</v>
          </cell>
          <cell r="DK18">
            <v>17.44341500691835</v>
          </cell>
          <cell r="DL18">
            <v>19.084932986136888</v>
          </cell>
          <cell r="DM18">
            <v>28.123506859109309</v>
          </cell>
          <cell r="DN18">
            <v>28.501426324181331</v>
          </cell>
          <cell r="DO18">
            <v>38.295839127297782</v>
          </cell>
          <cell r="DP18">
            <v>78.39823566685449</v>
          </cell>
          <cell r="DQ18">
            <v>43.359416949246778</v>
          </cell>
          <cell r="DR18">
            <v>43.495210517949218</v>
          </cell>
          <cell r="DS18">
            <v>50.776218299739668</v>
          </cell>
          <cell r="DT18">
            <v>59.322683779382189</v>
          </cell>
          <cell r="DU18">
            <v>15.254404400412561</v>
          </cell>
          <cell r="DV18">
            <v>15.018996925097554</v>
          </cell>
          <cell r="DW18">
            <v>12.523677686758463</v>
          </cell>
          <cell r="DX18">
            <v>206.95611051431149</v>
          </cell>
          <cell r="DY18">
            <v>125.13562049903082</v>
          </cell>
          <cell r="DZ18">
            <v>118.4033228868276</v>
          </cell>
          <cell r="EA18">
            <v>0</v>
          </cell>
          <cell r="EB18">
            <v>5.8542075181031832</v>
          </cell>
          <cell r="EC18">
            <v>10.973016633763253</v>
          </cell>
          <cell r="ED18">
            <v>208.16147180097767</v>
          </cell>
          <cell r="EE18">
            <v>60.722787993278608</v>
          </cell>
          <cell r="EF18">
            <v>66.138018789349829</v>
          </cell>
          <cell r="EG18">
            <v>76.389411701699061</v>
          </cell>
          <cell r="EH18">
            <v>330.96405249584177</v>
          </cell>
          <cell r="EI18">
            <v>107.56921383751282</v>
          </cell>
          <cell r="EJ18">
            <v>104.67798002373311</v>
          </cell>
          <cell r="EK18">
            <v>110.45467872244312</v>
          </cell>
          <cell r="EL18">
            <v>123.28221990737696</v>
          </cell>
          <cell r="EM18">
            <v>46.960379469452391</v>
          </cell>
          <cell r="EN18">
            <v>38.699662622053495</v>
          </cell>
          <cell r="EO18">
            <v>34.210142596293238</v>
          </cell>
          <cell r="EP18">
            <v>0</v>
          </cell>
          <cell r="EQ18">
            <v>4.3463413439004839</v>
          </cell>
          <cell r="ER18">
            <v>3.2427741278299987E-3</v>
          </cell>
          <cell r="ES18">
            <v>1.6150447887039174</v>
          </cell>
          <cell r="ET18">
            <v>0.2358280077124012</v>
          </cell>
          <cell r="EU18">
            <v>7.7380316092810348</v>
          </cell>
          <cell r="EV18">
            <v>10.623359758604558</v>
          </cell>
          <cell r="EW18">
            <v>13.042894540281237</v>
          </cell>
          <cell r="EX18">
            <v>13.042894540281237</v>
          </cell>
          <cell r="EY18">
            <v>20.531258977263178</v>
          </cell>
          <cell r="EZ18">
            <v>40.103878266369456</v>
          </cell>
          <cell r="FA18">
            <v>31.561034189400516</v>
          </cell>
          <cell r="FB18">
            <v>27.165318551351014</v>
          </cell>
          <cell r="FC18">
            <v>30.479251116410701</v>
          </cell>
          <cell r="FD18">
            <v>29.47097827818088</v>
          </cell>
          <cell r="FE18">
            <v>18.547655483531749</v>
          </cell>
          <cell r="FF18">
            <v>14.149002009176394</v>
          </cell>
          <cell r="FG18">
            <v>9.970281208538804</v>
          </cell>
          <cell r="FH18">
            <v>0</v>
          </cell>
          <cell r="FI18">
            <v>0</v>
          </cell>
          <cell r="FJ18">
            <v>0.81518787624553646</v>
          </cell>
          <cell r="FK18">
            <v>0.39963394961822479</v>
          </cell>
          <cell r="FL18">
            <v>0.22343978160876751</v>
          </cell>
          <cell r="FM18">
            <v>5.9774037962079127E-2</v>
          </cell>
          <cell r="FN18">
            <v>3.07250969852383</v>
          </cell>
          <cell r="FO18">
            <v>3.5185215350726771</v>
          </cell>
          <cell r="FP18">
            <v>3.5185215350726771</v>
          </cell>
          <cell r="FQ18">
            <v>3.5185215350726771</v>
          </cell>
          <cell r="FR18">
            <v>11.639551968325403</v>
          </cell>
          <cell r="FS18">
            <v>6.8564720165772508</v>
          </cell>
          <cell r="FT18">
            <v>5.72949418028605</v>
          </cell>
          <cell r="FU18">
            <v>4.9289146024303152</v>
          </cell>
          <cell r="FV18">
            <v>8.5688321014663167</v>
          </cell>
          <cell r="FW18">
            <v>3.342786149473123</v>
          </cell>
          <cell r="FX18">
            <v>2.2128302679610821</v>
          </cell>
          <cell r="FY18">
            <v>1.4124448518900521</v>
          </cell>
          <cell r="FZ18">
            <v>0</v>
          </cell>
          <cell r="GA18">
            <v>0</v>
          </cell>
          <cell r="GB18">
            <v>0</v>
          </cell>
          <cell r="GC18">
            <v>1.7319524501775576</v>
          </cell>
          <cell r="GD18">
            <v>0.92169991261623063</v>
          </cell>
          <cell r="GE18">
            <v>0.47617021541269772</v>
          </cell>
          <cell r="GF18">
            <v>4.3186337429226045</v>
          </cell>
          <cell r="GG18">
            <v>4.9455355125046987</v>
          </cell>
          <cell r="GH18">
            <v>4.9455355125046987</v>
          </cell>
          <cell r="GI18">
            <v>4.9455355125046987</v>
          </cell>
          <cell r="GJ18">
            <v>7.5640117295718188</v>
          </cell>
          <cell r="GK18">
            <v>6.4913092571292053</v>
          </cell>
          <cell r="GL18">
            <v>6.0217165608518677</v>
          </cell>
          <cell r="GM18">
            <v>5.6947953142740664</v>
          </cell>
          <cell r="GN18">
            <v>3.2486231593471198</v>
          </cell>
          <cell r="GO18">
            <v>1.5536893370790572</v>
          </cell>
          <cell r="GP18">
            <v>1.0828743864490398</v>
          </cell>
          <cell r="GQ18">
            <v>0.7533039210080279</v>
          </cell>
        </row>
        <row r="19">
          <cell r="A19" t="str">
            <v>Net Benefit</v>
          </cell>
          <cell r="B19">
            <v>25</v>
          </cell>
          <cell r="C19">
            <v>36.799999999999997</v>
          </cell>
          <cell r="D19">
            <v>69.099999999999994</v>
          </cell>
          <cell r="T19">
            <v>25</v>
          </cell>
          <cell r="U19">
            <v>37.200000000000003</v>
          </cell>
          <cell r="V19">
            <v>67.7</v>
          </cell>
          <cell r="AL19">
            <v>5</v>
          </cell>
          <cell r="AM19">
            <v>11.8</v>
          </cell>
          <cell r="AN19">
            <v>0</v>
          </cell>
          <cell r="BD19">
            <v>0</v>
          </cell>
          <cell r="BE19">
            <v>91.7</v>
          </cell>
          <cell r="BF19">
            <v>0</v>
          </cell>
          <cell r="BV19">
            <v>16.899999999999999</v>
          </cell>
          <cell r="BW19">
            <v>83</v>
          </cell>
          <cell r="BX19">
            <v>50.7</v>
          </cell>
          <cell r="CN19">
            <v>17</v>
          </cell>
          <cell r="CO19">
            <v>25</v>
          </cell>
          <cell r="CP19">
            <v>83</v>
          </cell>
          <cell r="DF19">
            <v>5</v>
          </cell>
          <cell r="DG19">
            <v>11.4</v>
          </cell>
          <cell r="DH19">
            <v>0</v>
          </cell>
          <cell r="DX19">
            <v>60.1</v>
          </cell>
          <cell r="DY19">
            <v>96.9</v>
          </cell>
          <cell r="DZ19">
            <v>70.2</v>
          </cell>
          <cell r="EP19">
            <v>17</v>
          </cell>
          <cell r="EQ19">
            <v>83</v>
          </cell>
          <cell r="ER19">
            <v>50.1</v>
          </cell>
          <cell r="FH19">
            <v>17</v>
          </cell>
          <cell r="FI19">
            <v>25</v>
          </cell>
          <cell r="FJ19">
            <v>83</v>
          </cell>
          <cell r="FZ19">
            <v>17</v>
          </cell>
          <cell r="GA19">
            <v>25</v>
          </cell>
          <cell r="GB19">
            <v>42</v>
          </cell>
        </row>
        <row r="20">
          <cell r="A20" t="str">
            <v>No Net Change</v>
          </cell>
          <cell r="B20">
            <v>75</v>
          </cell>
          <cell r="C20">
            <v>25</v>
          </cell>
          <cell r="D20">
            <v>0</v>
          </cell>
          <cell r="T20">
            <v>75</v>
          </cell>
          <cell r="U20">
            <v>24.9</v>
          </cell>
          <cell r="V20">
            <v>0</v>
          </cell>
          <cell r="AL20">
            <v>95</v>
          </cell>
          <cell r="AM20">
            <v>0</v>
          </cell>
          <cell r="AN20">
            <v>0</v>
          </cell>
          <cell r="BD20">
            <v>100</v>
          </cell>
          <cell r="BE20">
            <v>8.3000000000000007</v>
          </cell>
          <cell r="BF20">
            <v>0</v>
          </cell>
          <cell r="BV20">
            <v>83.1</v>
          </cell>
          <cell r="BW20">
            <v>17</v>
          </cell>
          <cell r="BX20">
            <v>0</v>
          </cell>
          <cell r="CN20">
            <v>83</v>
          </cell>
          <cell r="CO20">
            <v>75</v>
          </cell>
          <cell r="CP20">
            <v>17</v>
          </cell>
          <cell r="DF20">
            <v>95</v>
          </cell>
          <cell r="DG20">
            <v>0</v>
          </cell>
          <cell r="DH20">
            <v>0</v>
          </cell>
          <cell r="DX20">
            <v>39.9</v>
          </cell>
          <cell r="DY20">
            <v>0</v>
          </cell>
          <cell r="DZ20">
            <v>0</v>
          </cell>
          <cell r="EP20">
            <v>83</v>
          </cell>
          <cell r="EQ20">
            <v>17</v>
          </cell>
          <cell r="ER20">
            <v>0</v>
          </cell>
          <cell r="FH20">
            <v>83</v>
          </cell>
          <cell r="FI20">
            <v>75</v>
          </cell>
          <cell r="FJ20">
            <v>17</v>
          </cell>
          <cell r="FZ20">
            <v>83</v>
          </cell>
          <cell r="GA20">
            <v>75</v>
          </cell>
          <cell r="GB20">
            <v>58</v>
          </cell>
        </row>
        <row r="21">
          <cell r="A21" t="str">
            <v>Net Cost</v>
          </cell>
          <cell r="B21">
            <v>0</v>
          </cell>
          <cell r="C21">
            <v>38.200000000000003</v>
          </cell>
          <cell r="D21">
            <v>30.9</v>
          </cell>
          <cell r="T21">
            <v>0</v>
          </cell>
          <cell r="U21">
            <v>37.9</v>
          </cell>
          <cell r="V21">
            <v>32.299999999999997</v>
          </cell>
          <cell r="AL21">
            <v>0</v>
          </cell>
          <cell r="AM21">
            <v>88.2</v>
          </cell>
          <cell r="AN21">
            <v>100</v>
          </cell>
          <cell r="BD21">
            <v>0</v>
          </cell>
          <cell r="BE21">
            <v>0</v>
          </cell>
          <cell r="BF21">
            <v>0</v>
          </cell>
          <cell r="BV21">
            <v>0</v>
          </cell>
          <cell r="BW21">
            <v>0</v>
          </cell>
          <cell r="BX21">
            <v>49.3</v>
          </cell>
          <cell r="CN21">
            <v>0</v>
          </cell>
          <cell r="CO21">
            <v>0</v>
          </cell>
          <cell r="CP21">
            <v>0</v>
          </cell>
          <cell r="DF21">
            <v>0</v>
          </cell>
          <cell r="DG21">
            <v>88.6</v>
          </cell>
          <cell r="DH21">
            <v>100</v>
          </cell>
          <cell r="DX21">
            <v>0</v>
          </cell>
          <cell r="DY21">
            <v>3.1</v>
          </cell>
          <cell r="DZ21">
            <v>29.8</v>
          </cell>
          <cell r="EP21">
            <v>0</v>
          </cell>
          <cell r="EQ21">
            <v>0</v>
          </cell>
          <cell r="ER21">
            <v>49.9</v>
          </cell>
          <cell r="FH21">
            <v>0</v>
          </cell>
          <cell r="FI21">
            <v>0</v>
          </cell>
          <cell r="FJ21">
            <v>0</v>
          </cell>
          <cell r="FZ21">
            <v>0</v>
          </cell>
          <cell r="GA21">
            <v>0</v>
          </cell>
          <cell r="GB21">
            <v>0</v>
          </cell>
        </row>
        <row r="22">
          <cell r="A22" t="str">
            <v>Total</v>
          </cell>
          <cell r="B22">
            <v>100</v>
          </cell>
          <cell r="C22">
            <v>100</v>
          </cell>
          <cell r="D22">
            <v>100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100</v>
          </cell>
          <cell r="U22">
            <v>100</v>
          </cell>
          <cell r="V22">
            <v>100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100</v>
          </cell>
          <cell r="AM22">
            <v>100</v>
          </cell>
          <cell r="AN22">
            <v>100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100</v>
          </cell>
          <cell r="BE22">
            <v>100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100</v>
          </cell>
          <cell r="BW22">
            <v>100</v>
          </cell>
          <cell r="BX22">
            <v>100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100</v>
          </cell>
          <cell r="CO22">
            <v>100</v>
          </cell>
          <cell r="CP22">
            <v>100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100</v>
          </cell>
          <cell r="DG22">
            <v>100</v>
          </cell>
          <cell r="DH22">
            <v>100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100</v>
          </cell>
          <cell r="DY22">
            <v>100</v>
          </cell>
          <cell r="DZ22">
            <v>100</v>
          </cell>
          <cell r="EA22">
            <v>0</v>
          </cell>
          <cell r="EB22">
            <v>0</v>
          </cell>
          <cell r="EC22">
            <v>0</v>
          </cell>
          <cell r="ED22">
            <v>0</v>
          </cell>
          <cell r="EE22">
            <v>0</v>
          </cell>
          <cell r="EF22">
            <v>0</v>
          </cell>
          <cell r="EG22">
            <v>0</v>
          </cell>
          <cell r="EH22">
            <v>0</v>
          </cell>
          <cell r="EI22">
            <v>0</v>
          </cell>
          <cell r="EJ22">
            <v>0</v>
          </cell>
          <cell r="EK22">
            <v>0</v>
          </cell>
          <cell r="EL22">
            <v>0</v>
          </cell>
          <cell r="EM22">
            <v>0</v>
          </cell>
          <cell r="EN22">
            <v>0</v>
          </cell>
          <cell r="EO22">
            <v>0</v>
          </cell>
          <cell r="EP22">
            <v>100</v>
          </cell>
          <cell r="EQ22">
            <v>100</v>
          </cell>
          <cell r="ER22">
            <v>100</v>
          </cell>
          <cell r="ES22">
            <v>0</v>
          </cell>
          <cell r="ET22">
            <v>0</v>
          </cell>
          <cell r="EU22">
            <v>0</v>
          </cell>
          <cell r="EV22">
            <v>0</v>
          </cell>
          <cell r="EW22">
            <v>0</v>
          </cell>
          <cell r="EX22">
            <v>0</v>
          </cell>
          <cell r="EY22">
            <v>0</v>
          </cell>
          <cell r="EZ22">
            <v>0</v>
          </cell>
          <cell r="FA22">
            <v>0</v>
          </cell>
          <cell r="FB22">
            <v>0</v>
          </cell>
          <cell r="FC22">
            <v>0</v>
          </cell>
          <cell r="FD22">
            <v>0</v>
          </cell>
          <cell r="FE22">
            <v>0</v>
          </cell>
          <cell r="FF22">
            <v>0</v>
          </cell>
          <cell r="FG22">
            <v>0</v>
          </cell>
          <cell r="FH22">
            <v>100</v>
          </cell>
          <cell r="FI22">
            <v>100</v>
          </cell>
          <cell r="FJ22">
            <v>100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100</v>
          </cell>
          <cell r="GA22">
            <v>100</v>
          </cell>
          <cell r="GB22">
            <v>100</v>
          </cell>
          <cell r="GC22">
            <v>0</v>
          </cell>
          <cell r="GD22">
            <v>0</v>
          </cell>
          <cell r="GE22">
            <v>0</v>
          </cell>
          <cell r="GF22">
            <v>0</v>
          </cell>
          <cell r="GG22">
            <v>0</v>
          </cell>
          <cell r="GH22">
            <v>0</v>
          </cell>
          <cell r="GI22">
            <v>0</v>
          </cell>
          <cell r="GJ22">
            <v>0</v>
          </cell>
          <cell r="GK22">
            <v>0</v>
          </cell>
          <cell r="GL22">
            <v>0</v>
          </cell>
          <cell r="GM22">
            <v>0</v>
          </cell>
          <cell r="GN22">
            <v>0</v>
          </cell>
          <cell r="GO22">
            <v>0</v>
          </cell>
          <cell r="GP22">
            <v>0</v>
          </cell>
          <cell r="GQ22">
            <v>0</v>
          </cell>
        </row>
      </sheetData>
      <sheetData sheetId="2">
        <row r="3">
          <cell r="A3" t="str">
            <v>Statistics</v>
          </cell>
          <cell r="B3" t="str">
            <v>Unit20 LCC Savings at CSL 1</v>
          </cell>
          <cell r="C3" t="str">
            <v>Unit20 LCC Savings at CSL 2</v>
          </cell>
          <cell r="D3" t="str">
            <v>Unit20 LCC Savings at CSL 3</v>
          </cell>
          <cell r="E3" t="str">
            <v>Unit20 PBP at CSL 1</v>
          </cell>
          <cell r="F3" t="str">
            <v>Unit20 PBP at CSL 2</v>
          </cell>
          <cell r="G3" t="str">
            <v>Unit20 PBP at CSL 3</v>
          </cell>
          <cell r="H3" t="str">
            <v>Unit20 Total Install at CSL 0</v>
          </cell>
          <cell r="I3" t="str">
            <v>Unit20 Total Install at CSL 1</v>
          </cell>
          <cell r="J3" t="str">
            <v>Unit20 Total Install at CSL 2</v>
          </cell>
          <cell r="K3" t="str">
            <v>Unit20 Total Install at CSL 3</v>
          </cell>
          <cell r="L3" t="str">
            <v>Unit20 Total LCC at CSL 0</v>
          </cell>
          <cell r="M3" t="str">
            <v>Unit20 Total LCC at CSL 1</v>
          </cell>
          <cell r="N3" t="str">
            <v>Unit20 Total LCC at CSL 2</v>
          </cell>
          <cell r="O3" t="str">
            <v>Unit20 Total LCC at CSL 3</v>
          </cell>
          <cell r="P3" t="str">
            <v>Unit20 Total Op Cost at CSL 0</v>
          </cell>
          <cell r="Q3" t="str">
            <v>Unit20 Total Op Cost at CSL 1</v>
          </cell>
          <cell r="R3" t="str">
            <v>Unit20 Total Op Cost at CSL 2</v>
          </cell>
          <cell r="S3" t="str">
            <v>Unit20 Total Op Cost at CSL 3</v>
          </cell>
          <cell r="T3" t="str">
            <v>Unit21 LCC Savings at CSL 1</v>
          </cell>
          <cell r="U3" t="str">
            <v>Unit21 LCC Savings at CSL 2</v>
          </cell>
          <cell r="V3" t="str">
            <v>Unit21 LCC Savings at CSL 3</v>
          </cell>
          <cell r="W3" t="str">
            <v>Unit21 PBP at CSL 1</v>
          </cell>
          <cell r="X3" t="str">
            <v>Unit21 PBP at CSL 2</v>
          </cell>
          <cell r="Y3" t="str">
            <v>Unit21 PBP at CSL 3</v>
          </cell>
          <cell r="Z3" t="str">
            <v>Unit21 Total Install at CSL 0</v>
          </cell>
          <cell r="AA3" t="str">
            <v>Unit21 Total Install at CSL 1</v>
          </cell>
          <cell r="AB3" t="str">
            <v>Unit21 Total Install at CSL 2</v>
          </cell>
          <cell r="AC3" t="str">
            <v>Unit21 Total Install at CSL 3</v>
          </cell>
          <cell r="AD3" t="str">
            <v>Unit21 Total LCC at CSL 0</v>
          </cell>
          <cell r="AE3" t="str">
            <v>Unit21 Total LCC at CSL 1</v>
          </cell>
          <cell r="AF3" t="str">
            <v>Unit21 Total LCC at CSL 2</v>
          </cell>
          <cell r="AG3" t="str">
            <v>Unit21 Total LCC at CSL 3</v>
          </cell>
          <cell r="AH3" t="str">
            <v>Unit21 Total Op Cost at CSL 0</v>
          </cell>
          <cell r="AI3" t="str">
            <v>Unit21 Total Op Cost at CSL 1</v>
          </cell>
          <cell r="AJ3" t="str">
            <v>Unit21 Total Op Cost at CSL 2</v>
          </cell>
          <cell r="AK3" t="str">
            <v>Unit21 Total Op Cost at CSL 3</v>
          </cell>
          <cell r="AL3" t="str">
            <v>Unit22 LCC Savings at CSL 1</v>
          </cell>
          <cell r="AM3" t="str">
            <v>Unit22 LCC Savings at CSL 2</v>
          </cell>
          <cell r="AN3" t="str">
            <v>Unit22 LCC Savings at CSL 3</v>
          </cell>
          <cell r="AO3" t="str">
            <v>Unit22 PBP at CSL 1</v>
          </cell>
          <cell r="AP3" t="str">
            <v>Unit22 PBP at CSL 2</v>
          </cell>
          <cell r="AQ3" t="str">
            <v>Unit22 PBP at CSL 3</v>
          </cell>
          <cell r="AR3" t="str">
            <v>Unit22 Total Install at CSL 0</v>
          </cell>
          <cell r="AS3" t="str">
            <v>Unit22 Total Install at CSL 1</v>
          </cell>
          <cell r="AT3" t="str">
            <v>Unit22 Total Install at CSL 2</v>
          </cell>
          <cell r="AU3" t="str">
            <v>Unit22 Total Install at CSL 3</v>
          </cell>
          <cell r="AV3" t="str">
            <v>Unit22 Total LCC at CSL 0</v>
          </cell>
          <cell r="AW3" t="str">
            <v>Unit22 Total LCC at CSL 1</v>
          </cell>
          <cell r="AX3" t="str">
            <v>Unit22 Total LCC at CSL 2</v>
          </cell>
          <cell r="AY3" t="str">
            <v>Unit22 Total LCC at CSL 3</v>
          </cell>
          <cell r="AZ3" t="str">
            <v>Unit22 Total Op Cost at CSL 0</v>
          </cell>
          <cell r="BA3" t="str">
            <v>Unit22 Total Op Cost at CSL 1</v>
          </cell>
          <cell r="BB3" t="str">
            <v>Unit22 Total Op Cost at CSL 2</v>
          </cell>
          <cell r="BC3" t="str">
            <v>Unit22 Total Op Cost at CSL 3</v>
          </cell>
          <cell r="BD3" t="str">
            <v>Unit23 LCC Savings at CSL 1</v>
          </cell>
          <cell r="BE3" t="str">
            <v>Unit23 LCC Savings at CSL 2</v>
          </cell>
          <cell r="BF3" t="str">
            <v>Unit23 LCC Savings at CSL 3</v>
          </cell>
          <cell r="BG3" t="str">
            <v>Unit23 PBP at CSL 1</v>
          </cell>
          <cell r="BH3" t="str">
            <v>Unit23 PBP at CSL 2</v>
          </cell>
          <cell r="BI3" t="str">
            <v>Unit23 PBP at CSL 3</v>
          </cell>
          <cell r="BJ3" t="str">
            <v>Unit23 Total Install at CSL 0</v>
          </cell>
          <cell r="BK3" t="str">
            <v>Unit23 Total Install at CSL 1</v>
          </cell>
          <cell r="BL3" t="str">
            <v>Unit23 Total Install at CSL 2</v>
          </cell>
          <cell r="BM3" t="str">
            <v>Unit23 Total Install at CSL 3</v>
          </cell>
          <cell r="BN3" t="str">
            <v>Unit23 Total LCC at CSL 0</v>
          </cell>
          <cell r="BO3" t="str">
            <v>Unit23 Total LCC at CSL 1</v>
          </cell>
          <cell r="BP3" t="str">
            <v>Unit23 Total LCC at CSL 2</v>
          </cell>
          <cell r="BQ3" t="str">
            <v>Unit23 Total LCC at CSL 3</v>
          </cell>
          <cell r="BR3" t="str">
            <v>Unit23 Total Op Cost at CSL 0</v>
          </cell>
          <cell r="BS3" t="str">
            <v>Unit23 Total Op Cost at CSL 1</v>
          </cell>
          <cell r="BT3" t="str">
            <v>Unit23 Total Op Cost at CSL 2</v>
          </cell>
          <cell r="BU3" t="str">
            <v>Unit23 Total Op Cost at CSL 3</v>
          </cell>
          <cell r="BV3" t="str">
            <v>Unit24 LCC Savings at CSL 1</v>
          </cell>
          <cell r="BW3" t="str">
            <v>Unit24 LCC Savings at CSL 2</v>
          </cell>
          <cell r="BX3" t="str">
            <v>Unit24 LCC Savings at CSL 3</v>
          </cell>
          <cell r="BY3" t="str">
            <v>Unit24 PBP at CSL 1</v>
          </cell>
          <cell r="BZ3" t="str">
            <v>Unit24 PBP at CSL 2</v>
          </cell>
          <cell r="CA3" t="str">
            <v>Unit24 PBP at CSL 3</v>
          </cell>
          <cell r="CB3" t="str">
            <v>Unit24 Total Install at CSL 0</v>
          </cell>
          <cell r="CC3" t="str">
            <v>Unit24 Total Install at CSL 1</v>
          </cell>
          <cell r="CD3" t="str">
            <v>Unit24 Total Install at CSL 2</v>
          </cell>
          <cell r="CE3" t="str">
            <v>Unit24 Total Install at CSL 3</v>
          </cell>
          <cell r="CF3" t="str">
            <v>Unit24 Total LCC at CSL 0</v>
          </cell>
          <cell r="CG3" t="str">
            <v>Unit24 Total LCC at CSL 1</v>
          </cell>
          <cell r="CH3" t="str">
            <v>Unit24 Total LCC at CSL 2</v>
          </cell>
          <cell r="CI3" t="str">
            <v>Unit24 Total LCC at CSL 3</v>
          </cell>
          <cell r="CJ3" t="str">
            <v>Unit24 Total Op Cost at CSL 0</v>
          </cell>
          <cell r="CK3" t="str">
            <v>Unit24 Total Op Cost at CSL 1</v>
          </cell>
          <cell r="CL3" t="str">
            <v>Unit24 Total Op Cost at CSL 2</v>
          </cell>
          <cell r="CM3" t="str">
            <v>Unit24 Total Op Cost at CSL 3</v>
          </cell>
          <cell r="CN3" t="str">
            <v>Unit25 LCC Savings at CSL 1</v>
          </cell>
          <cell r="CO3" t="str">
            <v>Unit25 LCC Savings at CSL 2</v>
          </cell>
          <cell r="CP3" t="str">
            <v>Unit25 LCC Savings at CSL 3</v>
          </cell>
          <cell r="CQ3" t="str">
            <v>Unit25 PBP at CSL 1</v>
          </cell>
          <cell r="CR3" t="str">
            <v>Unit25 PBP at CSL 2</v>
          </cell>
          <cell r="CS3" t="str">
            <v>Unit25 PBP at CSL 3</v>
          </cell>
          <cell r="CT3" t="str">
            <v>Unit25 Total Install at CSL 0</v>
          </cell>
          <cell r="CU3" t="str">
            <v>Unit25 Total Install at CSL 1</v>
          </cell>
          <cell r="CV3" t="str">
            <v>Unit25 Total Install at CSL 2</v>
          </cell>
          <cell r="CW3" t="str">
            <v>Unit25 Total Install at CSL 3</v>
          </cell>
          <cell r="CX3" t="str">
            <v>Unit25 Total LCC at CSL 0</v>
          </cell>
          <cell r="CY3" t="str">
            <v>Unit25 Total LCC at CSL 1</v>
          </cell>
          <cell r="CZ3" t="str">
            <v>Unit25 Total LCC at CSL 2</v>
          </cell>
          <cell r="DA3" t="str">
            <v>Unit25 Total LCC at CSL 3</v>
          </cell>
          <cell r="DB3" t="str">
            <v>Unit25 Total Op Cost at CSL 0</v>
          </cell>
          <cell r="DC3" t="str">
            <v>Unit25 Total Op Cost at CSL 1</v>
          </cell>
          <cell r="DD3" t="str">
            <v>Unit25 Total Op Cost at CSL 2</v>
          </cell>
          <cell r="DE3" t="str">
            <v>Unit25 Total Op Cost at CSL 3</v>
          </cell>
          <cell r="DF3" t="str">
            <v>Unit26 LCC Savings at CSL 1</v>
          </cell>
          <cell r="DG3" t="str">
            <v>Unit26 LCC Savings at CSL 2</v>
          </cell>
          <cell r="DH3" t="str">
            <v>Unit26 LCC Savings at CSL 3</v>
          </cell>
          <cell r="DI3" t="str">
            <v>Unit26 PBP at CSL 1</v>
          </cell>
          <cell r="DJ3" t="str">
            <v>Unit26 PBP at CSL 2</v>
          </cell>
          <cell r="DK3" t="str">
            <v>Unit26 PBP at CSL 3</v>
          </cell>
          <cell r="DL3" t="str">
            <v>Unit26 Total Install at CSL 0</v>
          </cell>
          <cell r="DM3" t="str">
            <v>Unit26 Total Install at CSL 1</v>
          </cell>
          <cell r="DN3" t="str">
            <v>Unit26 Total Install at CSL 2</v>
          </cell>
          <cell r="DO3" t="str">
            <v>Unit26 Total Install at CSL 3</v>
          </cell>
          <cell r="DP3" t="str">
            <v>Unit26 Total LCC at CSL 0</v>
          </cell>
          <cell r="DQ3" t="str">
            <v>Unit26 Total LCC at CSL 1</v>
          </cell>
          <cell r="DR3" t="str">
            <v>Unit26 Total LCC at CSL 2</v>
          </cell>
          <cell r="DS3" t="str">
            <v>Unit26 Total LCC at CSL 3</v>
          </cell>
          <cell r="DT3" t="str">
            <v>Unit26 Total Op Cost at CSL 0</v>
          </cell>
          <cell r="DU3" t="str">
            <v>Unit26 Total Op Cost at CSL 1</v>
          </cell>
          <cell r="DV3" t="str">
            <v>Unit26 Total Op Cost at CSL 2</v>
          </cell>
          <cell r="DW3" t="str">
            <v>Unit26 Total Op Cost at CSL 3</v>
          </cell>
          <cell r="DX3" t="str">
            <v>Unit27 LCC Savings at CSL 1</v>
          </cell>
          <cell r="DY3" t="str">
            <v>Unit27 LCC Savings at CSL 2</v>
          </cell>
          <cell r="DZ3" t="str">
            <v>Unit27 LCC Savings at CSL 3</v>
          </cell>
          <cell r="EA3" t="str">
            <v>Unit27 PBP at CSL 1</v>
          </cell>
          <cell r="EB3" t="str">
            <v>Unit27 PBP at CSL 2</v>
          </cell>
          <cell r="EC3" t="str">
            <v>Unit27 PBP at CSL 3</v>
          </cell>
          <cell r="ED3" t="str">
            <v>Unit27 Total Install at CSL 0</v>
          </cell>
          <cell r="EE3" t="str">
            <v>Unit27 Total Install at CSL 1</v>
          </cell>
          <cell r="EF3" t="str">
            <v>Unit27 Total Install at CSL 2</v>
          </cell>
          <cell r="EG3" t="str">
            <v>Unit27 Total Install at CSL 3</v>
          </cell>
          <cell r="EH3" t="str">
            <v>Unit27 Total LCC at CSL 0</v>
          </cell>
          <cell r="EI3" t="str">
            <v>Unit27 Total LCC at CSL 1</v>
          </cell>
          <cell r="EJ3" t="str">
            <v>Unit27 Total LCC at CSL 2</v>
          </cell>
          <cell r="EK3" t="str">
            <v>Unit27 Total LCC at CSL 3</v>
          </cell>
          <cell r="EL3" t="str">
            <v>Unit27 Total Op Cost at CSL 0</v>
          </cell>
          <cell r="EM3" t="str">
            <v>Unit27 Total Op Cost at CSL 1</v>
          </cell>
          <cell r="EN3" t="str">
            <v>Unit27 Total Op Cost at CSL 2</v>
          </cell>
          <cell r="EO3" t="str">
            <v>Unit27 Total Op Cost at CSL 3</v>
          </cell>
          <cell r="EP3" t="str">
            <v>Unit28 LCC Savings at CSL 1</v>
          </cell>
          <cell r="EQ3" t="str">
            <v>Unit28 LCC Savings at CSL 2</v>
          </cell>
          <cell r="ER3" t="str">
            <v>Unit28 LCC Savings at CSL 3</v>
          </cell>
          <cell r="ES3" t="str">
            <v>Unit28 PBP at CSL 1</v>
          </cell>
          <cell r="ET3" t="str">
            <v>Unit28 PBP at CSL 2</v>
          </cell>
          <cell r="EU3" t="str">
            <v>Unit28 PBP at CSL 3</v>
          </cell>
          <cell r="EV3" t="str">
            <v>Unit28 Total Install at CSL 0</v>
          </cell>
          <cell r="EW3" t="str">
            <v>Unit28 Total Install at CSL 1</v>
          </cell>
          <cell r="EX3" t="str">
            <v>Unit28 Total Install at CSL 2</v>
          </cell>
          <cell r="EY3" t="str">
            <v>Unit28 Total Install at CSL 3</v>
          </cell>
          <cell r="EZ3" t="str">
            <v>Unit28 Total LCC at CSL 0</v>
          </cell>
          <cell r="FA3" t="str">
            <v>Unit28 Total LCC at CSL 1</v>
          </cell>
          <cell r="FB3" t="str">
            <v>Unit28 Total LCC at CSL 2</v>
          </cell>
          <cell r="FC3" t="str">
            <v>Unit28 Total LCC at CSL 3</v>
          </cell>
          <cell r="FD3" t="str">
            <v>Unit28 Total Op Cost at CSL 0</v>
          </cell>
          <cell r="FE3" t="str">
            <v>Unit28 Total Op Cost at CSL 1</v>
          </cell>
          <cell r="FF3" t="str">
            <v>Unit28 Total Op Cost at CSL 2</v>
          </cell>
          <cell r="FG3" t="str">
            <v>Unit28 Total Op Cost at CSL 3</v>
          </cell>
          <cell r="FH3" t="str">
            <v>Unit29 LCC Savings at CSL 1</v>
          </cell>
          <cell r="FI3" t="str">
            <v>Unit29 LCC Savings at CSL 2</v>
          </cell>
          <cell r="FJ3" t="str">
            <v>Unit29 LCC Savings at CSL 3</v>
          </cell>
          <cell r="FK3" t="str">
            <v>Unit29 PBP at CSL 1</v>
          </cell>
          <cell r="FL3" t="str">
            <v>Unit29 PBP at CSL 2</v>
          </cell>
          <cell r="FM3" t="str">
            <v>Unit29 PBP at CSL 3</v>
          </cell>
          <cell r="FN3" t="str">
            <v>Unit29 Total Install at CSL 0</v>
          </cell>
          <cell r="FO3" t="str">
            <v>Unit29 Total Install at CSL 1</v>
          </cell>
          <cell r="FP3" t="str">
            <v>Unit29 Total Install at CSL 2</v>
          </cell>
          <cell r="FQ3" t="str">
            <v>Unit29 Total Install at CSL 3</v>
          </cell>
          <cell r="FR3" t="str">
            <v>Unit29 Total LCC at CSL 0</v>
          </cell>
          <cell r="FS3" t="str">
            <v>Unit29 Total LCC at CSL 1</v>
          </cell>
          <cell r="FT3" t="str">
            <v>Unit29 Total LCC at CSL 2</v>
          </cell>
          <cell r="FU3" t="str">
            <v>Unit29 Total LCC at CSL 3</v>
          </cell>
          <cell r="FV3" t="str">
            <v>Unit29 Total Op Cost at CSL 0</v>
          </cell>
          <cell r="FW3" t="str">
            <v>Unit29 Total Op Cost at CSL 1</v>
          </cell>
          <cell r="FX3" t="str">
            <v>Unit29 Total Op Cost at CSL 2</v>
          </cell>
          <cell r="FY3" t="str">
            <v>Unit29 Total Op Cost at CSL 3</v>
          </cell>
          <cell r="FZ3" t="str">
            <v>Unit30 LCC Savings at CSL 1</v>
          </cell>
          <cell r="GA3" t="str">
            <v>Unit30 LCC Savings at CSL 2</v>
          </cell>
          <cell r="GB3" t="str">
            <v>Unit30 LCC Savings at CSL 3</v>
          </cell>
          <cell r="GC3" t="str">
            <v>Unit30 PBP at CSL 1</v>
          </cell>
          <cell r="GD3" t="str">
            <v>Unit30 PBP at CSL 2</v>
          </cell>
          <cell r="GE3" t="str">
            <v>Unit30 PBP at CSL 3</v>
          </cell>
          <cell r="GF3" t="str">
            <v>Unit30 Total Install at CSL 0</v>
          </cell>
          <cell r="GG3" t="str">
            <v>Unit30 Total Install at CSL 1</v>
          </cell>
          <cell r="GH3" t="str">
            <v>Unit30 Total Install at CSL 2</v>
          </cell>
          <cell r="GI3" t="str">
            <v>Unit30 Total Install at CSL 3</v>
          </cell>
          <cell r="GJ3" t="str">
            <v>Unit30 Total LCC at CSL 0</v>
          </cell>
          <cell r="GK3" t="str">
            <v>Unit30 Total LCC at CSL 1</v>
          </cell>
          <cell r="GL3" t="str">
            <v>Unit30 Total LCC at CSL 2</v>
          </cell>
          <cell r="GM3" t="str">
            <v>Unit30 Total LCC at CSL 3</v>
          </cell>
          <cell r="GN3" t="str">
            <v>Unit30 Total Op Cost at CSL 0</v>
          </cell>
          <cell r="GO3" t="str">
            <v>Unit30 Total Op Cost at CSL 1</v>
          </cell>
          <cell r="GP3" t="str">
            <v>Unit30 Total Op Cost at CSL 2</v>
          </cell>
          <cell r="GQ3" t="str">
            <v>Unit30 Total Op Cost at CSL 3</v>
          </cell>
          <cell r="GR3" t="str">
            <v>Unit31 LCC Savings at CSL 1</v>
          </cell>
          <cell r="GS3" t="str">
            <v>Unit31 LCC Savings at CSL 2</v>
          </cell>
          <cell r="GT3" t="str">
            <v>Unit31 LCC Savings at CSL 3</v>
          </cell>
          <cell r="GU3" t="str">
            <v>Unit31 PBP at CSL 1</v>
          </cell>
          <cell r="GV3" t="str">
            <v>Unit31 PBP at CSL 2</v>
          </cell>
          <cell r="GW3" t="str">
            <v>Unit31 PBP at CSL 3</v>
          </cell>
          <cell r="GX3" t="str">
            <v>Unit31 Total Install at CSL 0</v>
          </cell>
          <cell r="GY3" t="str">
            <v>Unit31 Total Install at CSL 1</v>
          </cell>
          <cell r="GZ3" t="str">
            <v>Unit31 Total Install at CSL 2</v>
          </cell>
          <cell r="HA3" t="str">
            <v>Unit31 Total Install at CSL 3</v>
          </cell>
          <cell r="HB3" t="str">
            <v>Unit31 Total LCC at CSL 0</v>
          </cell>
          <cell r="HC3" t="str">
            <v>Unit31 Total LCC at CSL 1</v>
          </cell>
          <cell r="HD3" t="str">
            <v>Unit31 Total LCC at CSL 2</v>
          </cell>
          <cell r="HE3" t="str">
            <v>Unit31 Total LCC at CSL 3</v>
          </cell>
          <cell r="HF3" t="str">
            <v>Unit31 Total Op Cost at CSL 0</v>
          </cell>
          <cell r="HG3" t="str">
            <v>Unit31 Total Op Cost at CSL 1</v>
          </cell>
          <cell r="HH3" t="str">
            <v>Unit31 Total Op Cost at CSL 2</v>
          </cell>
          <cell r="HI3" t="str">
            <v>Unit31 Total Op Cost at CSL 3</v>
          </cell>
        </row>
        <row r="4">
          <cell r="A4" t="str">
            <v>Trials</v>
          </cell>
          <cell r="B4">
            <v>1000</v>
          </cell>
          <cell r="C4">
            <v>1000</v>
          </cell>
          <cell r="D4">
            <v>1000</v>
          </cell>
          <cell r="E4">
            <v>1000</v>
          </cell>
          <cell r="F4">
            <v>1000</v>
          </cell>
          <cell r="G4">
            <v>1000</v>
          </cell>
          <cell r="H4">
            <v>1000</v>
          </cell>
          <cell r="I4">
            <v>1000</v>
          </cell>
          <cell r="J4">
            <v>1000</v>
          </cell>
          <cell r="K4">
            <v>1000</v>
          </cell>
          <cell r="L4">
            <v>1000</v>
          </cell>
          <cell r="M4">
            <v>1000</v>
          </cell>
          <cell r="N4">
            <v>1000</v>
          </cell>
          <cell r="O4">
            <v>1000</v>
          </cell>
          <cell r="P4">
            <v>1000</v>
          </cell>
          <cell r="Q4">
            <v>1000</v>
          </cell>
          <cell r="R4">
            <v>1000</v>
          </cell>
          <cell r="S4">
            <v>1000</v>
          </cell>
          <cell r="T4">
            <v>1000</v>
          </cell>
          <cell r="U4">
            <v>1000</v>
          </cell>
          <cell r="V4">
            <v>1000</v>
          </cell>
          <cell r="W4">
            <v>1000</v>
          </cell>
          <cell r="X4">
            <v>1000</v>
          </cell>
          <cell r="Y4">
            <v>1000</v>
          </cell>
          <cell r="Z4">
            <v>1000</v>
          </cell>
          <cell r="AA4">
            <v>1000</v>
          </cell>
          <cell r="AB4">
            <v>1000</v>
          </cell>
          <cell r="AC4">
            <v>1000</v>
          </cell>
          <cell r="AD4">
            <v>1000</v>
          </cell>
          <cell r="AE4">
            <v>1000</v>
          </cell>
          <cell r="AF4">
            <v>1000</v>
          </cell>
          <cell r="AG4">
            <v>1000</v>
          </cell>
          <cell r="AH4">
            <v>1000</v>
          </cell>
          <cell r="AI4">
            <v>1000</v>
          </cell>
          <cell r="AJ4">
            <v>1000</v>
          </cell>
          <cell r="AK4">
            <v>1000</v>
          </cell>
          <cell r="AL4">
            <v>1000</v>
          </cell>
          <cell r="AM4">
            <v>1000</v>
          </cell>
          <cell r="AN4">
            <v>1000</v>
          </cell>
          <cell r="AO4">
            <v>1000</v>
          </cell>
          <cell r="AP4">
            <v>1000</v>
          </cell>
          <cell r="AQ4">
            <v>1000</v>
          </cell>
          <cell r="AR4">
            <v>1000</v>
          </cell>
          <cell r="AS4">
            <v>1000</v>
          </cell>
          <cell r="AT4">
            <v>1000</v>
          </cell>
          <cell r="AU4">
            <v>1000</v>
          </cell>
          <cell r="AV4">
            <v>1000</v>
          </cell>
          <cell r="AW4">
            <v>1000</v>
          </cell>
          <cell r="AX4">
            <v>1000</v>
          </cell>
          <cell r="AY4">
            <v>1000</v>
          </cell>
          <cell r="AZ4">
            <v>1000</v>
          </cell>
          <cell r="BA4">
            <v>1000</v>
          </cell>
          <cell r="BB4">
            <v>1000</v>
          </cell>
          <cell r="BC4">
            <v>1000</v>
          </cell>
          <cell r="BD4">
            <v>1000</v>
          </cell>
          <cell r="BE4">
            <v>1000</v>
          </cell>
          <cell r="BF4">
            <v>0</v>
          </cell>
          <cell r="BG4">
            <v>1000</v>
          </cell>
          <cell r="BH4">
            <v>1000</v>
          </cell>
          <cell r="BI4">
            <v>0</v>
          </cell>
          <cell r="BJ4">
            <v>1000</v>
          </cell>
          <cell r="BK4">
            <v>1000</v>
          </cell>
          <cell r="BL4">
            <v>1000</v>
          </cell>
          <cell r="BM4">
            <v>1000</v>
          </cell>
          <cell r="BN4">
            <v>1000</v>
          </cell>
          <cell r="BO4">
            <v>1000</v>
          </cell>
          <cell r="BP4">
            <v>1000</v>
          </cell>
          <cell r="BQ4">
            <v>1000</v>
          </cell>
          <cell r="BR4">
            <v>1000</v>
          </cell>
          <cell r="BS4">
            <v>1000</v>
          </cell>
          <cell r="BT4">
            <v>1000</v>
          </cell>
          <cell r="BU4">
            <v>1000</v>
          </cell>
          <cell r="BV4">
            <v>1000</v>
          </cell>
          <cell r="BW4">
            <v>1000</v>
          </cell>
          <cell r="BX4">
            <v>1000</v>
          </cell>
          <cell r="BY4">
            <v>1000</v>
          </cell>
          <cell r="BZ4">
            <v>1000</v>
          </cell>
          <cell r="CA4">
            <v>1000</v>
          </cell>
          <cell r="CB4">
            <v>1000</v>
          </cell>
          <cell r="CC4">
            <v>1000</v>
          </cell>
          <cell r="CD4">
            <v>1000</v>
          </cell>
          <cell r="CE4">
            <v>1000</v>
          </cell>
          <cell r="CF4">
            <v>1000</v>
          </cell>
          <cell r="CG4">
            <v>1000</v>
          </cell>
          <cell r="CH4">
            <v>1000</v>
          </cell>
          <cell r="CI4">
            <v>1000</v>
          </cell>
          <cell r="CJ4">
            <v>1000</v>
          </cell>
          <cell r="CK4">
            <v>1000</v>
          </cell>
          <cell r="CL4">
            <v>1000</v>
          </cell>
          <cell r="CM4">
            <v>1000</v>
          </cell>
          <cell r="CN4">
            <v>1000</v>
          </cell>
          <cell r="CO4">
            <v>1000</v>
          </cell>
          <cell r="CP4">
            <v>1000</v>
          </cell>
          <cell r="CQ4">
            <v>1000</v>
          </cell>
          <cell r="CR4">
            <v>1000</v>
          </cell>
          <cell r="CS4">
            <v>1000</v>
          </cell>
          <cell r="CT4">
            <v>1000</v>
          </cell>
          <cell r="CU4">
            <v>1000</v>
          </cell>
          <cell r="CV4">
            <v>1000</v>
          </cell>
          <cell r="CW4">
            <v>1000</v>
          </cell>
          <cell r="CX4">
            <v>1000</v>
          </cell>
          <cell r="CY4">
            <v>1000</v>
          </cell>
          <cell r="CZ4">
            <v>1000</v>
          </cell>
          <cell r="DA4">
            <v>1000</v>
          </cell>
          <cell r="DB4">
            <v>1000</v>
          </cell>
          <cell r="DC4">
            <v>1000</v>
          </cell>
          <cell r="DD4">
            <v>1000</v>
          </cell>
          <cell r="DE4">
            <v>1000</v>
          </cell>
          <cell r="DF4">
            <v>1000</v>
          </cell>
          <cell r="DG4">
            <v>1000</v>
          </cell>
          <cell r="DH4">
            <v>1000</v>
          </cell>
          <cell r="DI4">
            <v>1000</v>
          </cell>
          <cell r="DJ4">
            <v>1000</v>
          </cell>
          <cell r="DK4">
            <v>1000</v>
          </cell>
          <cell r="DL4">
            <v>1000</v>
          </cell>
          <cell r="DM4">
            <v>1000</v>
          </cell>
          <cell r="DN4">
            <v>1000</v>
          </cell>
          <cell r="DO4">
            <v>1000</v>
          </cell>
          <cell r="DP4">
            <v>1000</v>
          </cell>
          <cell r="DQ4">
            <v>1000</v>
          </cell>
          <cell r="DR4">
            <v>1000</v>
          </cell>
          <cell r="DS4">
            <v>1000</v>
          </cell>
          <cell r="DT4">
            <v>1000</v>
          </cell>
          <cell r="DU4">
            <v>1000</v>
          </cell>
          <cell r="DV4">
            <v>1000</v>
          </cell>
          <cell r="DW4">
            <v>1000</v>
          </cell>
          <cell r="DX4">
            <v>1000</v>
          </cell>
          <cell r="DY4">
            <v>1000</v>
          </cell>
          <cell r="DZ4">
            <v>1000</v>
          </cell>
          <cell r="EA4">
            <v>1000</v>
          </cell>
          <cell r="EB4">
            <v>1000</v>
          </cell>
          <cell r="EC4">
            <v>1000</v>
          </cell>
          <cell r="ED4">
            <v>1000</v>
          </cell>
          <cell r="EE4">
            <v>1000</v>
          </cell>
          <cell r="EF4">
            <v>1000</v>
          </cell>
          <cell r="EG4">
            <v>1000</v>
          </cell>
          <cell r="EH4">
            <v>1000</v>
          </cell>
          <cell r="EI4">
            <v>1000</v>
          </cell>
          <cell r="EJ4">
            <v>1000</v>
          </cell>
          <cell r="EK4">
            <v>1000</v>
          </cell>
          <cell r="EL4">
            <v>1000</v>
          </cell>
          <cell r="EM4">
            <v>1000</v>
          </cell>
          <cell r="EN4">
            <v>1000</v>
          </cell>
          <cell r="EO4">
            <v>1000</v>
          </cell>
          <cell r="EP4">
            <v>1000</v>
          </cell>
          <cell r="EQ4">
            <v>1000</v>
          </cell>
          <cell r="ER4">
            <v>1000</v>
          </cell>
          <cell r="ES4">
            <v>1000</v>
          </cell>
          <cell r="ET4">
            <v>1000</v>
          </cell>
          <cell r="EU4">
            <v>1000</v>
          </cell>
          <cell r="EV4">
            <v>1000</v>
          </cell>
          <cell r="EW4">
            <v>1000</v>
          </cell>
          <cell r="EX4">
            <v>1000</v>
          </cell>
          <cell r="EY4">
            <v>1000</v>
          </cell>
          <cell r="EZ4">
            <v>1000</v>
          </cell>
          <cell r="FA4">
            <v>1000</v>
          </cell>
          <cell r="FB4">
            <v>1000</v>
          </cell>
          <cell r="FC4">
            <v>1000</v>
          </cell>
          <cell r="FD4">
            <v>1000</v>
          </cell>
          <cell r="FE4">
            <v>1000</v>
          </cell>
          <cell r="FF4">
            <v>1000</v>
          </cell>
          <cell r="FG4">
            <v>1000</v>
          </cell>
          <cell r="FH4">
            <v>1000</v>
          </cell>
          <cell r="FI4">
            <v>1000</v>
          </cell>
          <cell r="FJ4">
            <v>1000</v>
          </cell>
          <cell r="FK4">
            <v>1000</v>
          </cell>
          <cell r="FL4">
            <v>1000</v>
          </cell>
          <cell r="FM4">
            <v>1000</v>
          </cell>
          <cell r="FN4">
            <v>1000</v>
          </cell>
          <cell r="FO4">
            <v>1000</v>
          </cell>
          <cell r="FP4">
            <v>1000</v>
          </cell>
          <cell r="FQ4">
            <v>1000</v>
          </cell>
          <cell r="FR4">
            <v>1000</v>
          </cell>
          <cell r="FS4">
            <v>1000</v>
          </cell>
          <cell r="FT4">
            <v>1000</v>
          </cell>
          <cell r="FU4">
            <v>1000</v>
          </cell>
          <cell r="FV4">
            <v>1000</v>
          </cell>
          <cell r="FW4">
            <v>1000</v>
          </cell>
          <cell r="FX4">
            <v>1000</v>
          </cell>
          <cell r="FY4">
            <v>1000</v>
          </cell>
          <cell r="FZ4">
            <v>1000</v>
          </cell>
          <cell r="GA4">
            <v>1000</v>
          </cell>
          <cell r="GB4">
            <v>1000</v>
          </cell>
          <cell r="GC4">
            <v>1000</v>
          </cell>
          <cell r="GD4">
            <v>1000</v>
          </cell>
          <cell r="GE4">
            <v>1000</v>
          </cell>
          <cell r="GF4">
            <v>1000</v>
          </cell>
          <cell r="GG4">
            <v>1000</v>
          </cell>
          <cell r="GH4">
            <v>1000</v>
          </cell>
          <cell r="GI4">
            <v>1000</v>
          </cell>
          <cell r="GJ4">
            <v>1000</v>
          </cell>
          <cell r="GK4">
            <v>1000</v>
          </cell>
          <cell r="GL4">
            <v>1000</v>
          </cell>
          <cell r="GM4">
            <v>1000</v>
          </cell>
          <cell r="GN4">
            <v>1000</v>
          </cell>
          <cell r="GO4">
            <v>1000</v>
          </cell>
          <cell r="GP4">
            <v>1000</v>
          </cell>
          <cell r="GQ4">
            <v>1000</v>
          </cell>
          <cell r="GR4">
            <v>1000</v>
          </cell>
          <cell r="GS4">
            <v>1000</v>
          </cell>
          <cell r="GT4">
            <v>1000</v>
          </cell>
          <cell r="GU4">
            <v>1000</v>
          </cell>
          <cell r="GV4">
            <v>1000</v>
          </cell>
          <cell r="GW4">
            <v>1000</v>
          </cell>
          <cell r="GX4">
            <v>1000</v>
          </cell>
          <cell r="GY4">
            <v>1000</v>
          </cell>
          <cell r="GZ4">
            <v>1000</v>
          </cell>
          <cell r="HA4">
            <v>1000</v>
          </cell>
          <cell r="HB4">
            <v>1000</v>
          </cell>
          <cell r="HC4">
            <v>1000</v>
          </cell>
          <cell r="HD4">
            <v>1000</v>
          </cell>
          <cell r="HE4">
            <v>1000</v>
          </cell>
          <cell r="HF4">
            <v>1000</v>
          </cell>
          <cell r="HG4">
            <v>1000</v>
          </cell>
          <cell r="HH4">
            <v>1000</v>
          </cell>
          <cell r="HI4">
            <v>1000</v>
          </cell>
        </row>
        <row r="5">
          <cell r="A5" t="str">
            <v>Mean</v>
          </cell>
          <cell r="B5">
            <v>0.31396234066649709</v>
          </cell>
          <cell r="C5">
            <v>0.12469331816069346</v>
          </cell>
          <cell r="D5">
            <v>0.23670276475088273</v>
          </cell>
          <cell r="E5">
            <v>-0.97151493120530441</v>
          </cell>
          <cell r="F5">
            <v>2.8407370637907388</v>
          </cell>
          <cell r="G5">
            <v>3.8686121862280061</v>
          </cell>
          <cell r="H5">
            <v>8.477775854559054</v>
          </cell>
          <cell r="I5">
            <v>9.5211988349118002</v>
          </cell>
          <cell r="J5">
            <v>11.290174612970143</v>
          </cell>
          <cell r="K5">
            <v>11.705462017250229</v>
          </cell>
          <cell r="L5">
            <v>16.531087342217706</v>
          </cell>
          <cell r="M5">
            <v>15.229875332492549</v>
          </cell>
          <cell r="N5">
            <v>15.21488970505696</v>
          </cell>
          <cell r="O5">
            <v>15.069503524753225</v>
          </cell>
          <cell r="P5">
            <v>8.0533114876586662</v>
          </cell>
          <cell r="Q5">
            <v>5.7086764975808189</v>
          </cell>
          <cell r="R5">
            <v>3.9247150920868212</v>
          </cell>
          <cell r="S5">
            <v>3.3640415075029861</v>
          </cell>
          <cell r="T5">
            <v>1.9685257623326169</v>
          </cell>
          <cell r="U5">
            <v>-2.5739891818149278E-2</v>
          </cell>
          <cell r="V5">
            <v>-7.1463353427584835</v>
          </cell>
          <cell r="W5">
            <v>-1.8557321921685401</v>
          </cell>
          <cell r="X5">
            <v>6.9661651687386863</v>
          </cell>
          <cell r="Y5">
            <v>16.163413317977763</v>
          </cell>
          <cell r="Z5">
            <v>19.137848804687227</v>
          </cell>
          <cell r="AA5">
            <v>28.201483469613123</v>
          </cell>
          <cell r="AB5">
            <v>28.580450772676297</v>
          </cell>
          <cell r="AC5">
            <v>38.402020043728605</v>
          </cell>
          <cell r="AD5">
            <v>83.360459402471534</v>
          </cell>
          <cell r="AE5">
            <v>44.715869051900619</v>
          </cell>
          <cell r="AF5">
            <v>44.839984725607501</v>
          </cell>
          <cell r="AG5">
            <v>51.960126725483192</v>
          </cell>
          <cell r="AH5">
            <v>64.222610597784268</v>
          </cell>
          <cell r="AI5">
            <v>16.514385582287389</v>
          </cell>
          <cell r="AJ5">
            <v>16.259533952931079</v>
          </cell>
          <cell r="AK5">
            <v>13.558106681754452</v>
          </cell>
          <cell r="AL5">
            <v>136.7981336659652</v>
          </cell>
          <cell r="AM5">
            <v>85.366451858432882</v>
          </cell>
          <cell r="AN5">
            <v>79.824682871525084</v>
          </cell>
          <cell r="AO5">
            <v>-0.80200000000000005</v>
          </cell>
          <cell r="AP5">
            <v>2.197962209347835</v>
          </cell>
          <cell r="AQ5">
            <v>4.1198190889159463</v>
          </cell>
          <cell r="AR5">
            <v>208.73863047787694</v>
          </cell>
          <cell r="AS5">
            <v>60.891150964930056</v>
          </cell>
          <cell r="AT5">
            <v>66.3213962947396</v>
          </cell>
          <cell r="AU5">
            <v>76.601212720424869</v>
          </cell>
          <cell r="AV5">
            <v>338.89144601354394</v>
          </cell>
          <cell r="AW5">
            <v>110.46866190823272</v>
          </cell>
          <cell r="AX5">
            <v>107.17781544686835</v>
          </cell>
          <cell r="AY5">
            <v>112.71790807300225</v>
          </cell>
          <cell r="AZ5">
            <v>130.15281553566746</v>
          </cell>
          <cell r="BA5">
            <v>49.558458760196551</v>
          </cell>
          <cell r="BB5">
            <v>40.856419152128709</v>
          </cell>
          <cell r="BC5">
            <v>36.102816037542894</v>
          </cell>
          <cell r="BD5">
            <v>1.9077374756388641</v>
          </cell>
          <cell r="BE5">
            <v>1.7678340695883537</v>
          </cell>
          <cell r="BF5" t="str">
            <v>---</v>
          </cell>
          <cell r="BG5">
            <v>-1.5765234119097316</v>
          </cell>
          <cell r="BH5">
            <v>-1.1550199432796595</v>
          </cell>
          <cell r="BI5" t="str">
            <v>---</v>
          </cell>
          <cell r="BJ5">
            <v>7.1501960767931774</v>
          </cell>
          <cell r="BK5">
            <v>9.1181399511398666</v>
          </cell>
          <cell r="BL5">
            <v>10.189576060506436</v>
          </cell>
          <cell r="BM5">
            <v>0</v>
          </cell>
          <cell r="BN5">
            <v>24.655513777141437</v>
          </cell>
          <cell r="BO5">
            <v>14.042230021260041</v>
          </cell>
          <cell r="BP5">
            <v>12.123870024759347</v>
          </cell>
          <cell r="BQ5">
            <v>0</v>
          </cell>
          <cell r="BR5">
            <v>17.522604711382389</v>
          </cell>
          <cell r="BS5">
            <v>4.9241549583244852</v>
          </cell>
          <cell r="BT5">
            <v>1.9343664772102505</v>
          </cell>
          <cell r="BU5">
            <v>0</v>
          </cell>
          <cell r="BV5">
            <v>0.87253706431135813</v>
          </cell>
          <cell r="BW5">
            <v>0.89147003763724586</v>
          </cell>
          <cell r="BX5">
            <v>0.97224929407541949</v>
          </cell>
          <cell r="BY5">
            <v>-1.5963766170232745</v>
          </cell>
          <cell r="BZ5">
            <v>-1.4644274596512352</v>
          </cell>
          <cell r="CA5">
            <v>-0.33048372513656582</v>
          </cell>
          <cell r="CB5">
            <v>3.0810286891757155</v>
          </cell>
          <cell r="CC5">
            <v>3.5282771599548841</v>
          </cell>
          <cell r="CD5">
            <v>3.5282771599548841</v>
          </cell>
          <cell r="CE5">
            <v>3.5282771599548841</v>
          </cell>
          <cell r="CF5">
            <v>12.357627997744586</v>
          </cell>
          <cell r="CG5">
            <v>7.1471702968141724</v>
          </cell>
          <cell r="CH5">
            <v>5.9238824759039899</v>
          </cell>
          <cell r="CI5">
            <v>5.0573869360926222</v>
          </cell>
          <cell r="CJ5">
            <v>9.2765993085688354</v>
          </cell>
          <cell r="CK5">
            <v>3.6188931368592776</v>
          </cell>
          <cell r="CL5">
            <v>2.3956053159490969</v>
          </cell>
          <cell r="CM5">
            <v>1.5291097761377221</v>
          </cell>
          <cell r="CN5">
            <v>0.23665864126895148</v>
          </cell>
          <cell r="CO5">
            <v>-0.35369953611602978</v>
          </cell>
          <cell r="CP5">
            <v>-0.2366508194740726</v>
          </cell>
          <cell r="CQ5">
            <v>-0.79621124824241651</v>
          </cell>
          <cell r="CR5">
            <v>3.9964649265465613</v>
          </cell>
          <cell r="CS5">
            <v>5.1810513037347699</v>
          </cell>
          <cell r="CT5">
            <v>11.346197230681407</v>
          </cell>
          <cell r="CU5">
            <v>12.742658181431759</v>
          </cell>
          <cell r="CV5">
            <v>15.110159801960535</v>
          </cell>
          <cell r="CW5">
            <v>15.665958029846724</v>
          </cell>
          <cell r="CX5">
            <v>19.399508718339987</v>
          </cell>
          <cell r="CY5">
            <v>18.451334679012639</v>
          </cell>
          <cell r="CZ5">
            <v>19.034874894047391</v>
          </cell>
          <cell r="DA5">
            <v>19.029999537349692</v>
          </cell>
          <cell r="DB5">
            <v>8.0533114876586662</v>
          </cell>
          <cell r="DC5">
            <v>5.7086764975808189</v>
          </cell>
          <cell r="DD5">
            <v>3.9247150920868212</v>
          </cell>
          <cell r="DE5">
            <v>3.3640415075029861</v>
          </cell>
          <cell r="DF5">
            <v>6.5424258710345407E-2</v>
          </cell>
          <cell r="DG5">
            <v>1.7890824408360515E-2</v>
          </cell>
          <cell r="DH5">
            <v>0.16315998585889785</v>
          </cell>
          <cell r="DI5">
            <v>-1.7927970072124046</v>
          </cell>
          <cell r="DJ5">
            <v>4.6516768632833516</v>
          </cell>
          <cell r="DK5">
            <v>4.3707865351280422</v>
          </cell>
          <cell r="DL5">
            <v>8.477775854559054</v>
          </cell>
          <cell r="DM5">
            <v>9.5211988349118002</v>
          </cell>
          <cell r="DN5">
            <v>11.290174612970143</v>
          </cell>
          <cell r="DO5">
            <v>11.705462017250229</v>
          </cell>
          <cell r="DP5">
            <v>16.531087342217706</v>
          </cell>
          <cell r="DQ5">
            <v>15.229875332492549</v>
          </cell>
          <cell r="DR5">
            <v>15.21488970505696</v>
          </cell>
          <cell r="DS5">
            <v>15.069503524753225</v>
          </cell>
          <cell r="DT5">
            <v>8.0533114876586662</v>
          </cell>
          <cell r="DU5">
            <v>5.7086764975808189</v>
          </cell>
          <cell r="DV5">
            <v>3.9247150920868212</v>
          </cell>
          <cell r="DW5">
            <v>3.3640415075029861</v>
          </cell>
          <cell r="DX5">
            <v>0.79586256644635889</v>
          </cell>
          <cell r="DY5">
            <v>0.51124300995537941</v>
          </cell>
          <cell r="DZ5">
            <v>0.6609974914024177</v>
          </cell>
          <cell r="EA5">
            <v>0.44131706824838779</v>
          </cell>
          <cell r="EB5">
            <v>4.0864197187107507</v>
          </cell>
          <cell r="EC5">
            <v>3.9199165970335579</v>
          </cell>
          <cell r="ED5">
            <v>8.3862101730358987</v>
          </cell>
          <cell r="EE5">
            <v>9.4183634833770231</v>
          </cell>
          <cell r="EF5">
            <v>11.168233133189608</v>
          </cell>
          <cell r="EG5">
            <v>11.579035154174173</v>
          </cell>
          <cell r="EH5">
            <v>16.439521660694552</v>
          </cell>
          <cell r="EI5">
            <v>15.127039980957816</v>
          </cell>
          <cell r="EJ5">
            <v>15.09294822527642</v>
          </cell>
          <cell r="EK5">
            <v>14.943076661677235</v>
          </cell>
          <cell r="EL5">
            <v>8.0533114876586662</v>
          </cell>
          <cell r="EM5">
            <v>5.7086764975808189</v>
          </cell>
          <cell r="EN5">
            <v>3.9247150920868212</v>
          </cell>
          <cell r="EO5">
            <v>3.3640415075029861</v>
          </cell>
          <cell r="EP5">
            <v>0.63132983113364893</v>
          </cell>
          <cell r="EQ5">
            <v>1.7900183714775277</v>
          </cell>
          <cell r="ER5">
            <v>2.1717171648362235</v>
          </cell>
          <cell r="ES5">
            <v>-1.3978989532347272</v>
          </cell>
          <cell r="ET5">
            <v>2.4956240069851532</v>
          </cell>
          <cell r="EU5">
            <v>3.0232109190658636</v>
          </cell>
          <cell r="EV5">
            <v>6.3472618295119867</v>
          </cell>
          <cell r="EW5">
            <v>7.1284665899169939</v>
          </cell>
          <cell r="EX5">
            <v>8.4528885404410889</v>
          </cell>
          <cell r="EY5">
            <v>8.7638118220524142</v>
          </cell>
          <cell r="EZ5">
            <v>21.324789036092834</v>
          </cell>
          <cell r="FA5">
            <v>17.745447900911017</v>
          </cell>
          <cell r="FB5">
            <v>15.7520631917495</v>
          </cell>
          <cell r="FC5">
            <v>15.020247237459552</v>
          </cell>
          <cell r="FD5">
            <v>14.971771480135869</v>
          </cell>
          <cell r="FE5">
            <v>10.612901302374787</v>
          </cell>
          <cell r="FF5">
            <v>7.296369645382657</v>
          </cell>
          <cell r="FG5">
            <v>6.2540311246137108</v>
          </cell>
          <cell r="FH5">
            <v>0.39074801826991745</v>
          </cell>
          <cell r="FI5">
            <v>0.43740695222527481</v>
          </cell>
          <cell r="FJ5">
            <v>0.4448201931286051</v>
          </cell>
          <cell r="FK5">
            <v>-1.2428244426993753</v>
          </cell>
          <cell r="FL5">
            <v>-0.35779276462963483</v>
          </cell>
          <cell r="FM5">
            <v>2.9322796049018631</v>
          </cell>
          <cell r="FN5">
            <v>9.5966413870461196</v>
          </cell>
          <cell r="FO5">
            <v>10.77777147696982</v>
          </cell>
          <cell r="FP5">
            <v>12.780210141972631</v>
          </cell>
          <cell r="FQ5">
            <v>13.250305643411375</v>
          </cell>
          <cell r="FR5">
            <v>21.914625546852164</v>
          </cell>
          <cell r="FS5">
            <v>19.509507083920894</v>
          </cell>
          <cell r="FT5">
            <v>18.783278371751589</v>
          </cell>
          <cell r="FU5">
            <v>18.395792697507577</v>
          </cell>
          <cell r="FV5">
            <v>12.317984159805974</v>
          </cell>
          <cell r="FW5">
            <v>8.7317356069510819</v>
          </cell>
          <cell r="FX5">
            <v>6.0030682297788633</v>
          </cell>
          <cell r="FY5">
            <v>5.1454870540961801</v>
          </cell>
          <cell r="FZ5">
            <v>0.18709377984352146</v>
          </cell>
          <cell r="GA5">
            <v>4.7430118312978664E-2</v>
          </cell>
          <cell r="GB5">
            <v>7.2363330427232919E-2</v>
          </cell>
          <cell r="GC5">
            <v>-1.2410804145980481</v>
          </cell>
          <cell r="GD5">
            <v>-0.32188757392656203</v>
          </cell>
          <cell r="GE5">
            <v>3.1199694331825296</v>
          </cell>
          <cell r="GF5">
            <v>10.096294699550837</v>
          </cell>
          <cell r="GG5">
            <v>11.338920841908688</v>
          </cell>
          <cell r="GH5">
            <v>13.445617347931453</v>
          </cell>
          <cell r="GI5">
            <v>13.940188576347371</v>
          </cell>
          <cell r="GJ5">
            <v>18.149606187209496</v>
          </cell>
          <cell r="GK5">
            <v>17.047597339489446</v>
          </cell>
          <cell r="GL5">
            <v>17.370332440018302</v>
          </cell>
          <cell r="GM5">
            <v>17.304230083850342</v>
          </cell>
          <cell r="GN5">
            <v>8.0533114876586662</v>
          </cell>
          <cell r="GO5">
            <v>5.7086764975808189</v>
          </cell>
          <cell r="GP5">
            <v>3.9247150920868212</v>
          </cell>
          <cell r="GQ5">
            <v>3.3640415075029861</v>
          </cell>
          <cell r="GR5">
            <v>0.18645556554658699</v>
          </cell>
          <cell r="GS5">
            <v>4.6281319642655354E-2</v>
          </cell>
          <cell r="GT5">
            <v>7.6531157153606866E-2</v>
          </cell>
          <cell r="GU5">
            <v>-1.2410070134469766</v>
          </cell>
          <cell r="GV5">
            <v>-0.3267262041100632</v>
          </cell>
          <cell r="GW5">
            <v>3.0970622558724012</v>
          </cell>
          <cell r="GX5">
            <v>10.096294699550837</v>
          </cell>
          <cell r="GY5">
            <v>11.338920841908688</v>
          </cell>
          <cell r="GZ5">
            <v>13.445617347931453</v>
          </cell>
          <cell r="HA5">
            <v>13.940188576347371</v>
          </cell>
          <cell r="HB5">
            <v>18.149606187209496</v>
          </cell>
          <cell r="HC5">
            <v>17.047597339489446</v>
          </cell>
          <cell r="HD5">
            <v>17.370332440018302</v>
          </cell>
          <cell r="HE5">
            <v>17.304230083850342</v>
          </cell>
          <cell r="HF5">
            <v>8.0533114876586662</v>
          </cell>
          <cell r="HG5">
            <v>5.7086764975808189</v>
          </cell>
          <cell r="HH5">
            <v>3.9247150920868212</v>
          </cell>
          <cell r="HI5">
            <v>3.3640415075029861</v>
          </cell>
        </row>
        <row r="6">
          <cell r="A6" t="str">
            <v>Median</v>
          </cell>
          <cell r="B6">
            <v>0</v>
          </cell>
          <cell r="C6">
            <v>0</v>
          </cell>
          <cell r="D6">
            <v>0.1127617997018433</v>
          </cell>
          <cell r="E6">
            <v>-2</v>
          </cell>
          <cell r="F6">
            <v>4.0249824939019971</v>
          </cell>
          <cell r="G6">
            <v>3.8961127396650892</v>
          </cell>
          <cell r="H6">
            <v>8.4543349520099671</v>
          </cell>
          <cell r="I6">
            <v>9.4948728859991505</v>
          </cell>
          <cell r="J6">
            <v>11.258957476847984</v>
          </cell>
          <cell r="K6">
            <v>11.673096618689858</v>
          </cell>
          <cell r="L6">
            <v>15.884887894279474</v>
          </cell>
          <cell r="M6">
            <v>14.763059411832629</v>
          </cell>
          <cell r="N6">
            <v>14.869820729303761</v>
          </cell>
          <cell r="O6">
            <v>14.763961118068231</v>
          </cell>
          <cell r="P6">
            <v>7.4388762199542748</v>
          </cell>
          <cell r="Q6">
            <v>5.2731274470561935</v>
          </cell>
          <cell r="R6">
            <v>3.6252751198511342</v>
          </cell>
          <cell r="S6">
            <v>3.1073786741581144</v>
          </cell>
          <cell r="T6">
            <v>0</v>
          </cell>
          <cell r="U6">
            <v>-0.1380708726855211</v>
          </cell>
          <cell r="V6">
            <v>-7.3788683464586065</v>
          </cell>
          <cell r="W6">
            <v>-2</v>
          </cell>
          <cell r="X6">
            <v>7.5174098110311496</v>
          </cell>
          <cell r="Y6">
            <v>17.44341500691835</v>
          </cell>
          <cell r="Z6">
            <v>19.084932986136888</v>
          </cell>
          <cell r="AA6">
            <v>28.123506859109309</v>
          </cell>
          <cell r="AB6">
            <v>28.501426324181331</v>
          </cell>
          <cell r="AC6">
            <v>38.295839127297782</v>
          </cell>
          <cell r="AD6">
            <v>78.39823566685449</v>
          </cell>
          <cell r="AE6">
            <v>43.359416949246778</v>
          </cell>
          <cell r="AF6">
            <v>43.495210517949218</v>
          </cell>
          <cell r="AG6">
            <v>50.776218299739668</v>
          </cell>
          <cell r="AH6">
            <v>59.322683779382189</v>
          </cell>
          <cell r="AI6">
            <v>15.254404400412561</v>
          </cell>
          <cell r="AJ6">
            <v>15.018996925097554</v>
          </cell>
          <cell r="AK6">
            <v>12.523677686758463</v>
          </cell>
          <cell r="AL6">
            <v>206.86654722924027</v>
          </cell>
          <cell r="AM6">
            <v>125.13562049903082</v>
          </cell>
          <cell r="AN6">
            <v>118.35589627966115</v>
          </cell>
          <cell r="AO6">
            <v>0</v>
          </cell>
          <cell r="AP6">
            <v>0</v>
          </cell>
          <cell r="AQ6">
            <v>0</v>
          </cell>
          <cell r="AR6">
            <v>208.16147180097767</v>
          </cell>
          <cell r="AS6">
            <v>60.722787993278608</v>
          </cell>
          <cell r="AT6">
            <v>66.138018789349829</v>
          </cell>
          <cell r="AU6">
            <v>76.389411701699061</v>
          </cell>
          <cell r="AV6">
            <v>330.96405249584177</v>
          </cell>
          <cell r="AW6">
            <v>107.56921383751282</v>
          </cell>
          <cell r="AX6">
            <v>104.67798002373311</v>
          </cell>
          <cell r="AY6">
            <v>110.45467872244312</v>
          </cell>
          <cell r="AZ6">
            <v>123.28221990737696</v>
          </cell>
          <cell r="BA6">
            <v>46.936795405871038</v>
          </cell>
          <cell r="BB6">
            <v>38.699662622053495</v>
          </cell>
          <cell r="BC6">
            <v>34.192961853990184</v>
          </cell>
          <cell r="BD6">
            <v>0</v>
          </cell>
          <cell r="BE6">
            <v>0</v>
          </cell>
          <cell r="BF6" t="str">
            <v>---</v>
          </cell>
          <cell r="BG6">
            <v>-2</v>
          </cell>
          <cell r="BH6">
            <v>-2</v>
          </cell>
          <cell r="BI6" t="str">
            <v>---</v>
          </cell>
          <cell r="BJ6">
            <v>7.0117179454706244</v>
          </cell>
          <cell r="BK6">
            <v>8.9415485726643738</v>
          </cell>
          <cell r="BL6">
            <v>9.9922341363587499</v>
          </cell>
          <cell r="BM6">
            <v>0</v>
          </cell>
          <cell r="BN6">
            <v>22.056231079103487</v>
          </cell>
          <cell r="BO6">
            <v>13.472607420440809</v>
          </cell>
          <cell r="BP6">
            <v>11.957116063182337</v>
          </cell>
          <cell r="BQ6">
            <v>0</v>
          </cell>
          <cell r="BR6">
            <v>14.781198312171174</v>
          </cell>
          <cell r="BS6">
            <v>4.2934126465641285</v>
          </cell>
          <cell r="BT6">
            <v>1.6301529444497782</v>
          </cell>
          <cell r="BU6">
            <v>0</v>
          </cell>
          <cell r="BV6">
            <v>0</v>
          </cell>
          <cell r="BW6">
            <v>0</v>
          </cell>
          <cell r="BX6">
            <v>0.82478998225880673</v>
          </cell>
          <cell r="BY6">
            <v>-2</v>
          </cell>
          <cell r="BZ6">
            <v>-2</v>
          </cell>
          <cell r="CA6">
            <v>0</v>
          </cell>
          <cell r="CB6">
            <v>3.07250969852383</v>
          </cell>
          <cell r="CC6">
            <v>3.5185215350726771</v>
          </cell>
          <cell r="CD6">
            <v>3.5185215350726771</v>
          </cell>
          <cell r="CE6">
            <v>3.5185215350726771</v>
          </cell>
          <cell r="CF6">
            <v>11.639551968325403</v>
          </cell>
          <cell r="CG6">
            <v>6.8564720165772508</v>
          </cell>
          <cell r="CH6">
            <v>5.72949418028605</v>
          </cell>
          <cell r="CI6">
            <v>4.9289146024303152</v>
          </cell>
          <cell r="CJ6">
            <v>8.5688321014663167</v>
          </cell>
          <cell r="CK6">
            <v>3.342786149473123</v>
          </cell>
          <cell r="CL6">
            <v>2.2128302679610821</v>
          </cell>
          <cell r="CM6">
            <v>1.4124448518900521</v>
          </cell>
          <cell r="CN6">
            <v>0</v>
          </cell>
          <cell r="CO6">
            <v>-0.39042979668521838</v>
          </cell>
          <cell r="CP6">
            <v>-0.25146587481261246</v>
          </cell>
          <cell r="CQ6">
            <v>-2</v>
          </cell>
          <cell r="CR6">
            <v>5.4564255587700021</v>
          </cell>
          <cell r="CS6">
            <v>5.2143468210990198</v>
          </cell>
          <cell r="CT6">
            <v>11.314825192997155</v>
          </cell>
          <cell r="CU6">
            <v>12.707424953546143</v>
          </cell>
          <cell r="CV6">
            <v>15.068380473337681</v>
          </cell>
          <cell r="CW6">
            <v>15.622641928806109</v>
          </cell>
          <cell r="CX6">
            <v>18.745123664985243</v>
          </cell>
          <cell r="CY6">
            <v>17.972463076101054</v>
          </cell>
          <cell r="CZ6">
            <v>18.67274716675896</v>
          </cell>
          <cell r="DA6">
            <v>18.709036604981257</v>
          </cell>
          <cell r="DB6">
            <v>7.4388762199542748</v>
          </cell>
          <cell r="DC6">
            <v>5.2731274470561935</v>
          </cell>
          <cell r="DD6">
            <v>3.6252751198511342</v>
          </cell>
          <cell r="DE6">
            <v>3.1073786741581144</v>
          </cell>
          <cell r="DF6">
            <v>0</v>
          </cell>
          <cell r="DG6">
            <v>-0.10461862861568529</v>
          </cell>
          <cell r="DH6">
            <v>3.5288976590663879E-4</v>
          </cell>
          <cell r="DI6">
            <v>-2</v>
          </cell>
          <cell r="DJ6">
            <v>5.0129148956600389</v>
          </cell>
          <cell r="DK6">
            <v>4.7095956690452354</v>
          </cell>
          <cell r="DL6">
            <v>8.4543349520099671</v>
          </cell>
          <cell r="DM6">
            <v>9.4948728859991505</v>
          </cell>
          <cell r="DN6">
            <v>11.258957476847984</v>
          </cell>
          <cell r="DO6">
            <v>11.673096618689858</v>
          </cell>
          <cell r="DP6">
            <v>15.884887894279474</v>
          </cell>
          <cell r="DQ6">
            <v>14.763059411832629</v>
          </cell>
          <cell r="DR6">
            <v>14.869820729303761</v>
          </cell>
          <cell r="DS6">
            <v>14.763961118068231</v>
          </cell>
          <cell r="DT6">
            <v>7.4388762199542748</v>
          </cell>
          <cell r="DU6">
            <v>5.2731274470561935</v>
          </cell>
          <cell r="DV6">
            <v>3.6252751198511342</v>
          </cell>
          <cell r="DW6">
            <v>3.1073786741581144</v>
          </cell>
          <cell r="DX6">
            <v>0.79128919628330241</v>
          </cell>
          <cell r="DY6">
            <v>0.33787179218592056</v>
          </cell>
          <cell r="DZ6">
            <v>0.46495525006411675</v>
          </cell>
          <cell r="EA6">
            <v>1.5582604050697892</v>
          </cell>
          <cell r="EB6">
            <v>4.1217690560324325</v>
          </cell>
          <cell r="EC6">
            <v>4.0207839186653338</v>
          </cell>
          <cell r="ED6">
            <v>8.3630224480010629</v>
          </cell>
          <cell r="EE6">
            <v>9.3923218724199327</v>
          </cell>
          <cell r="EF6">
            <v>11.137353163134776</v>
          </cell>
          <cell r="EG6">
            <v>11.547019323687838</v>
          </cell>
          <cell r="EH6">
            <v>15.792999713000878</v>
          </cell>
          <cell r="EI6">
            <v>14.660555895238549</v>
          </cell>
          <cell r="EJ6">
            <v>14.749284905048953</v>
          </cell>
          <cell r="EK6">
            <v>14.63820043067331</v>
          </cell>
          <cell r="EL6">
            <v>7.4388762199542748</v>
          </cell>
          <cell r="EM6">
            <v>5.2731274470561935</v>
          </cell>
          <cell r="EN6">
            <v>3.6252751198511342</v>
          </cell>
          <cell r="EO6">
            <v>3.1073786741581144</v>
          </cell>
          <cell r="EP6">
            <v>0</v>
          </cell>
          <cell r="EQ6">
            <v>1.7306346083305728</v>
          </cell>
          <cell r="ER6">
            <v>2.0114956794078109</v>
          </cell>
          <cell r="ES6">
            <v>-2</v>
          </cell>
          <cell r="ET6">
            <v>3.3081291473066763</v>
          </cell>
          <cell r="EU6">
            <v>3.1433395817108267</v>
          </cell>
          <cell r="EV6">
            <v>6.3297117611271156</v>
          </cell>
          <cell r="EW6">
            <v>7.1087565039787561</v>
          </cell>
          <cell r="EX6">
            <v>8.4295164508820069</v>
          </cell>
          <cell r="EY6">
            <v>8.7395800350361181</v>
          </cell>
          <cell r="EZ6">
            <v>20.504083225642937</v>
          </cell>
          <cell r="FA6">
            <v>17.146598153304353</v>
          </cell>
          <cell r="FB6">
            <v>15.32954450066458</v>
          </cell>
          <cell r="FC6">
            <v>14.64743896457383</v>
          </cell>
          <cell r="FD6">
            <v>14.179758459135034</v>
          </cell>
          <cell r="FE6">
            <v>10.051474350779264</v>
          </cell>
          <cell r="FF6">
            <v>6.9103886161607448</v>
          </cell>
          <cell r="FG6">
            <v>5.9231902424234955</v>
          </cell>
          <cell r="FH6">
            <v>0</v>
          </cell>
          <cell r="FI6">
            <v>0</v>
          </cell>
          <cell r="FJ6">
            <v>0.34279826842798244</v>
          </cell>
          <cell r="FK6">
            <v>-2</v>
          </cell>
          <cell r="FL6">
            <v>-2</v>
          </cell>
          <cell r="FM6">
            <v>3.736091812452794</v>
          </cell>
          <cell r="FN6">
            <v>9.570106840791194</v>
          </cell>
          <cell r="FO6">
            <v>10.747971126592308</v>
          </cell>
          <cell r="FP6">
            <v>12.744873083570372</v>
          </cell>
          <cell r="FQ6">
            <v>13.213668779136945</v>
          </cell>
          <cell r="FR6">
            <v>21.135511413716735</v>
          </cell>
          <cell r="FS6">
            <v>18.942456083597754</v>
          </cell>
          <cell r="FT6">
            <v>18.380257740788867</v>
          </cell>
          <cell r="FU6">
            <v>18.036537967046598</v>
          </cell>
          <cell r="FV6">
            <v>11.588327751621033</v>
          </cell>
          <cell r="FW6">
            <v>8.2145108112756695</v>
          </cell>
          <cell r="FX6">
            <v>5.6474761827520226</v>
          </cell>
          <cell r="FY6">
            <v>4.8406938709303038</v>
          </cell>
          <cell r="FZ6">
            <v>0</v>
          </cell>
          <cell r="GA6">
            <v>0</v>
          </cell>
          <cell r="GB6">
            <v>4.397193472485128E-4</v>
          </cell>
          <cell r="GC6">
            <v>-2</v>
          </cell>
          <cell r="GD6">
            <v>-2</v>
          </cell>
          <cell r="GE6">
            <v>3.9306130594833908</v>
          </cell>
          <cell r="GF6">
            <v>10.068378620591094</v>
          </cell>
          <cell r="GG6">
            <v>11.307568923312658</v>
          </cell>
          <cell r="GH6">
            <v>13.408440450196496</v>
          </cell>
          <cell r="GI6">
            <v>13.901644197781554</v>
          </cell>
          <cell r="GJ6">
            <v>17.499316437270217</v>
          </cell>
          <cell r="GK6">
            <v>16.571605904734728</v>
          </cell>
          <cell r="GL6">
            <v>17.014976821253669</v>
          </cell>
          <cell r="GM6">
            <v>16.990636160156072</v>
          </cell>
          <cell r="GN6">
            <v>7.4388762199542748</v>
          </cell>
          <cell r="GO6">
            <v>5.2731274470561935</v>
          </cell>
          <cell r="GP6">
            <v>3.6252751198511342</v>
          </cell>
          <cell r="GQ6">
            <v>3.1073786741581144</v>
          </cell>
          <cell r="GR6">
            <v>0</v>
          </cell>
          <cell r="GS6">
            <v>0</v>
          </cell>
          <cell r="GT6">
            <v>4.2128106217180772E-3</v>
          </cell>
          <cell r="GU6">
            <v>-2</v>
          </cell>
          <cell r="GV6">
            <v>-2</v>
          </cell>
          <cell r="GW6">
            <v>3.9306130594833908</v>
          </cell>
          <cell r="GX6">
            <v>10.068378620591094</v>
          </cell>
          <cell r="GY6">
            <v>11.307568923312658</v>
          </cell>
          <cell r="GZ6">
            <v>13.408440450196496</v>
          </cell>
          <cell r="HA6">
            <v>13.901644197781554</v>
          </cell>
          <cell r="HB6">
            <v>17.499316437270217</v>
          </cell>
          <cell r="HC6">
            <v>16.571605904734728</v>
          </cell>
          <cell r="HD6">
            <v>17.014976821253669</v>
          </cell>
          <cell r="HE6">
            <v>16.990636160156072</v>
          </cell>
          <cell r="HF6">
            <v>7.4388762199542748</v>
          </cell>
          <cell r="HG6">
            <v>5.2731274470561935</v>
          </cell>
          <cell r="HH6">
            <v>3.6252751198511342</v>
          </cell>
          <cell r="HI6">
            <v>3.1073786741581144</v>
          </cell>
        </row>
        <row r="7">
          <cell r="A7" t="str">
            <v>Mode</v>
          </cell>
          <cell r="B7">
            <v>0</v>
          </cell>
          <cell r="C7">
            <v>0</v>
          </cell>
          <cell r="D7">
            <v>0.40102548104092034</v>
          </cell>
          <cell r="E7">
            <v>-2</v>
          </cell>
          <cell r="F7">
            <v>-2</v>
          </cell>
          <cell r="G7">
            <v>4.3878934589992324</v>
          </cell>
          <cell r="H7">
            <v>8.4600101847632931</v>
          </cell>
          <cell r="I7">
            <v>9.5012466118920997</v>
          </cell>
          <cell r="J7">
            <v>11.266515398861202</v>
          </cell>
          <cell r="K7">
            <v>11.680932544358662</v>
          </cell>
          <cell r="L7">
            <v>16.54500220775946</v>
          </cell>
          <cell r="M7">
            <v>15.232380197813431</v>
          </cell>
          <cell r="N7">
            <v>15.206669739182118</v>
          </cell>
          <cell r="O7">
            <v>15.05820769320516</v>
          </cell>
          <cell r="P7">
            <v>8.0849920229961647</v>
          </cell>
          <cell r="Q7">
            <v>5.7311335859213308</v>
          </cell>
          <cell r="R7">
            <v>3.9401543403209156</v>
          </cell>
          <cell r="S7">
            <v>3.3772751488464992</v>
          </cell>
          <cell r="T7">
            <v>0</v>
          </cell>
          <cell r="U7">
            <v>-0.12231897721099472</v>
          </cell>
          <cell r="V7">
            <v>-7.2112522954215095</v>
          </cell>
          <cell r="W7">
            <v>-2</v>
          </cell>
          <cell r="X7">
            <v>7.5174098110311496</v>
          </cell>
          <cell r="Y7">
            <v>17.44341500691835</v>
          </cell>
          <cell r="Z7">
            <v>19.097744335272303</v>
          </cell>
          <cell r="AA7">
            <v>28.142385629369915</v>
          </cell>
          <cell r="AB7">
            <v>28.520558784523825</v>
          </cell>
          <cell r="AC7">
            <v>38.321546388929249</v>
          </cell>
          <cell r="AD7">
            <v>83.57299717688727</v>
          </cell>
          <cell r="AE7">
            <v>44.721736360070906</v>
          </cell>
          <cell r="AF7">
            <v>44.844055337281901</v>
          </cell>
          <cell r="AG7">
            <v>51.932988655492416</v>
          </cell>
          <cell r="AH7">
            <v>64.475252841614974</v>
          </cell>
          <cell r="AI7">
            <v>16.579350730700995</v>
          </cell>
          <cell r="AJ7">
            <v>16.32349655275808</v>
          </cell>
          <cell r="AK7">
            <v>13.611442266563165</v>
          </cell>
          <cell r="AL7">
            <v>0</v>
          </cell>
          <cell r="AM7">
            <v>146.16867891456678</v>
          </cell>
          <cell r="AN7">
            <v>141.14835717248229</v>
          </cell>
          <cell r="AO7">
            <v>0</v>
          </cell>
          <cell r="AP7">
            <v>0</v>
          </cell>
          <cell r="AQ7">
            <v>0</v>
          </cell>
          <cell r="AR7">
            <v>208.30120660087042</v>
          </cell>
          <cell r="AS7">
            <v>60.763550035148121</v>
          </cell>
          <cell r="AT7">
            <v>66.182415971695221</v>
          </cell>
          <cell r="AU7">
            <v>76.440690447307986</v>
          </cell>
          <cell r="AV7">
            <v>352.13538866355702</v>
          </cell>
          <cell r="AW7">
            <v>115.55253562785394</v>
          </cell>
          <cell r="AX7">
            <v>111.333568534709</v>
          </cell>
          <cell r="AY7">
            <v>116.35389027679349</v>
          </cell>
          <cell r="AZ7">
            <v>143.83418206268664</v>
          </cell>
          <cell r="BA7">
            <v>54.788985592705821</v>
          </cell>
          <cell r="BB7">
            <v>45.151152563013788</v>
          </cell>
          <cell r="BC7">
            <v>39.913199829485507</v>
          </cell>
          <cell r="BD7">
            <v>0</v>
          </cell>
          <cell r="BE7">
            <v>0</v>
          </cell>
          <cell r="BF7" t="str">
            <v>---</v>
          </cell>
          <cell r="BG7">
            <v>-2</v>
          </cell>
          <cell r="BH7">
            <v>-2</v>
          </cell>
          <cell r="BI7" t="str">
            <v>---</v>
          </cell>
          <cell r="BJ7">
            <v>7.4090364413947665</v>
          </cell>
          <cell r="BK7">
            <v>9.44822078306305</v>
          </cell>
          <cell r="BL7">
            <v>10.55844336908245</v>
          </cell>
          <cell r="BM7">
            <v>0</v>
          </cell>
          <cell r="BN7">
            <v>20.666671128233737</v>
          </cell>
          <cell r="BO7">
            <v>13.742589672536358</v>
          </cell>
          <cell r="BP7">
            <v>12.226322532249135</v>
          </cell>
          <cell r="BQ7">
            <v>0</v>
          </cell>
          <cell r="BR7">
            <v>13.180904779212206</v>
          </cell>
          <cell r="BS7">
            <v>4.1965206586465147</v>
          </cell>
          <cell r="BT7">
            <v>1.5585331785976537</v>
          </cell>
          <cell r="BU7">
            <v>0</v>
          </cell>
          <cell r="BV7">
            <v>0</v>
          </cell>
          <cell r="BW7">
            <v>0</v>
          </cell>
          <cell r="BX7">
            <v>0</v>
          </cell>
          <cell r="BY7">
            <v>-2</v>
          </cell>
          <cell r="BZ7">
            <v>-2</v>
          </cell>
          <cell r="CA7">
            <v>0</v>
          </cell>
          <cell r="CB7">
            <v>3.0745722153007211</v>
          </cell>
          <cell r="CC7">
            <v>3.5208834510332441</v>
          </cell>
          <cell r="CD7">
            <v>3.5208834510332441</v>
          </cell>
          <cell r="CE7">
            <v>3.5208834510332441</v>
          </cell>
          <cell r="CF7">
            <v>12.387664292422883</v>
          </cell>
          <cell r="CG7">
            <v>7.1540127778226594</v>
          </cell>
          <cell r="CH7">
            <v>5.9259127236966602</v>
          </cell>
          <cell r="CI7">
            <v>5.056008518690744</v>
          </cell>
          <cell r="CJ7">
            <v>9.3130920771221621</v>
          </cell>
          <cell r="CK7">
            <v>3.6331293267894154</v>
          </cell>
          <cell r="CL7">
            <v>2.4050292726634162</v>
          </cell>
          <cell r="CM7">
            <v>1.5351250676574997</v>
          </cell>
          <cell r="CN7">
            <v>0</v>
          </cell>
          <cell r="CO7">
            <v>0</v>
          </cell>
          <cell r="CP7">
            <v>-0.37279508794058341</v>
          </cell>
          <cell r="CQ7">
            <v>-2</v>
          </cell>
          <cell r="CR7">
            <v>-2</v>
          </cell>
          <cell r="CS7">
            <v>5.8725195696520629</v>
          </cell>
          <cell r="CT7">
            <v>11.322420617935718</v>
          </cell>
          <cell r="CU7">
            <v>12.71595520396988</v>
          </cell>
          <cell r="CV7">
            <v>15.078495587878008</v>
          </cell>
          <cell r="CW7">
            <v>15.633129108421198</v>
          </cell>
          <cell r="CX7">
            <v>19.407412640931881</v>
          </cell>
          <cell r="CY7">
            <v>18.447088789891211</v>
          </cell>
          <cell r="CZ7">
            <v>19.018649928198922</v>
          </cell>
          <cell r="DA7">
            <v>19.010404257267698</v>
          </cell>
          <cell r="DB7">
            <v>8.0849920229961647</v>
          </cell>
          <cell r="DC7">
            <v>5.7311335859213308</v>
          </cell>
          <cell r="DD7">
            <v>3.9401543403209156</v>
          </cell>
          <cell r="DE7">
            <v>3.3772751488464992</v>
          </cell>
          <cell r="DF7">
            <v>0</v>
          </cell>
          <cell r="DG7">
            <v>2.5710458631312605E-2</v>
          </cell>
          <cell r="DH7">
            <v>0.17417250460827027</v>
          </cell>
          <cell r="DI7">
            <v>-2</v>
          </cell>
          <cell r="DJ7">
            <v>5.0129148956600389</v>
          </cell>
          <cell r="DK7">
            <v>4.7095956690452354</v>
          </cell>
          <cell r="DL7">
            <v>8.4600101847632931</v>
          </cell>
          <cell r="DM7">
            <v>9.5012466118920997</v>
          </cell>
          <cell r="DN7">
            <v>11.266515398861202</v>
          </cell>
          <cell r="DO7">
            <v>11.680932544358662</v>
          </cell>
          <cell r="DP7">
            <v>16.54500220775946</v>
          </cell>
          <cell r="DQ7">
            <v>15.232380197813431</v>
          </cell>
          <cell r="DR7">
            <v>15.206669739182118</v>
          </cell>
          <cell r="DS7">
            <v>15.05820769320516</v>
          </cell>
          <cell r="DT7">
            <v>8.0849920229961647</v>
          </cell>
          <cell r="DU7">
            <v>5.7311335859213308</v>
          </cell>
          <cell r="DV7">
            <v>3.9401543403209156</v>
          </cell>
          <cell r="DW7">
            <v>3.3772751488464992</v>
          </cell>
          <cell r="DX7">
            <v>0</v>
          </cell>
          <cell r="DY7">
            <v>0.83909738710715343</v>
          </cell>
          <cell r="DZ7">
            <v>0.99203541699939202</v>
          </cell>
          <cell r="EA7">
            <v>-2</v>
          </cell>
          <cell r="EB7">
            <v>4.0274266420068106</v>
          </cell>
          <cell r="EC7">
            <v>3.9287529348800767</v>
          </cell>
          <cell r="ED7">
            <v>8.3686363844233966</v>
          </cell>
          <cell r="EE7">
            <v>9.3986267577861629</v>
          </cell>
          <cell r="EF7">
            <v>11.144829454506665</v>
          </cell>
          <cell r="EG7">
            <v>11.554770616088843</v>
          </cell>
          <cell r="EH7">
            <v>16.453628407419561</v>
          </cell>
          <cell r="EI7">
            <v>15.129760343707494</v>
          </cell>
          <cell r="EJ7">
            <v>15.084983794827581</v>
          </cell>
          <cell r="EK7">
            <v>14.932045764935342</v>
          </cell>
          <cell r="EL7">
            <v>8.0849920229961647</v>
          </cell>
          <cell r="EM7">
            <v>5.7311335859213308</v>
          </cell>
          <cell r="EN7">
            <v>3.9401543403209156</v>
          </cell>
          <cell r="EO7">
            <v>3.3772751488464992</v>
          </cell>
          <cell r="EP7">
            <v>0</v>
          </cell>
          <cell r="EQ7">
            <v>0</v>
          </cell>
          <cell r="ER7">
            <v>2.706713349065899</v>
          </cell>
          <cell r="ES7">
            <v>-2</v>
          </cell>
          <cell r="ET7">
            <v>-2</v>
          </cell>
          <cell r="EU7">
            <v>3.3780508668788736</v>
          </cell>
          <cell r="EV7">
            <v>6.3339607751193183</v>
          </cell>
          <cell r="EW7">
            <v>7.1135284757513206</v>
          </cell>
          <cell r="EX7">
            <v>8.435175023451972</v>
          </cell>
          <cell r="EY7">
            <v>8.7454467473377591</v>
          </cell>
          <cell r="EZ7">
            <v>22.885891413068688</v>
          </cell>
          <cell r="FA7">
            <v>18.846542598854668</v>
          </cell>
          <cell r="FB7">
            <v>16.501622233085527</v>
          </cell>
          <cell r="FC7">
            <v>15.65954435559509</v>
          </cell>
          <cell r="FD7">
            <v>16.551930637949368</v>
          </cell>
          <cell r="FE7">
            <v>11.733014123103349</v>
          </cell>
          <cell r="FF7">
            <v>8.0664472096335551</v>
          </cell>
          <cell r="FG7">
            <v>6.9140976082573307</v>
          </cell>
          <cell r="FH7">
            <v>0</v>
          </cell>
          <cell r="FI7">
            <v>0</v>
          </cell>
          <cell r="FJ7">
            <v>0</v>
          </cell>
          <cell r="FK7">
            <v>-2</v>
          </cell>
          <cell r="FL7">
            <v>-2</v>
          </cell>
          <cell r="FM7">
            <v>-2</v>
          </cell>
          <cell r="FN7">
            <v>9.5765310697937096</v>
          </cell>
          <cell r="FO7">
            <v>10.755186033278131</v>
          </cell>
          <cell r="FP7">
            <v>12.753428472204893</v>
          </cell>
          <cell r="FQ7">
            <v>13.222538861322313</v>
          </cell>
          <cell r="FR7">
            <v>22.691308117672261</v>
          </cell>
          <cell r="FS7">
            <v>20.051736852027481</v>
          </cell>
          <cell r="FT7">
            <v>19.144807160095077</v>
          </cell>
          <cell r="FU7">
            <v>18.700863450942467</v>
          </cell>
          <cell r="FV7">
            <v>13.114777047878551</v>
          </cell>
          <cell r="FW7">
            <v>9.2965508187493526</v>
          </cell>
          <cell r="FX7">
            <v>6.3913786878901817</v>
          </cell>
          <cell r="FY7">
            <v>5.4783245896201542</v>
          </cell>
          <cell r="FZ7">
            <v>0</v>
          </cell>
          <cell r="GA7">
            <v>0</v>
          </cell>
          <cell r="GB7">
            <v>0</v>
          </cell>
          <cell r="GC7">
            <v>-2</v>
          </cell>
          <cell r="GD7">
            <v>-2</v>
          </cell>
          <cell r="GE7">
            <v>-2</v>
          </cell>
          <cell r="GF7">
            <v>10.075137329873943</v>
          </cell>
          <cell r="GG7">
            <v>11.31515947725668</v>
          </cell>
          <cell r="GH7">
            <v>13.417441278865565</v>
          </cell>
          <cell r="GI7">
            <v>13.910976104658223</v>
          </cell>
          <cell r="GJ7">
            <v>18.160129352870108</v>
          </cell>
          <cell r="GK7">
            <v>17.046293063178013</v>
          </cell>
          <cell r="GL7">
            <v>17.35759561918648</v>
          </cell>
          <cell r="GM7">
            <v>17.288251253504722</v>
          </cell>
          <cell r="GN7">
            <v>8.0849920229961647</v>
          </cell>
          <cell r="GO7">
            <v>5.7311335859213308</v>
          </cell>
          <cell r="GP7">
            <v>3.9401543403209156</v>
          </cell>
          <cell r="GQ7">
            <v>3.3772751488464992</v>
          </cell>
          <cell r="GR7">
            <v>0</v>
          </cell>
          <cell r="GS7">
            <v>0</v>
          </cell>
          <cell r="GT7">
            <v>0</v>
          </cell>
          <cell r="GU7">
            <v>-2</v>
          </cell>
          <cell r="GV7">
            <v>-2</v>
          </cell>
          <cell r="GW7">
            <v>-2</v>
          </cell>
          <cell r="GX7">
            <v>10.075137329873943</v>
          </cell>
          <cell r="GY7">
            <v>11.31515947725668</v>
          </cell>
          <cell r="GZ7">
            <v>13.417441278865565</v>
          </cell>
          <cell r="HA7">
            <v>13.910976104658223</v>
          </cell>
          <cell r="HB7">
            <v>18.160129352870108</v>
          </cell>
          <cell r="HC7">
            <v>17.046293063178013</v>
          </cell>
          <cell r="HD7">
            <v>17.35759561918648</v>
          </cell>
          <cell r="HE7">
            <v>17.288251253504722</v>
          </cell>
          <cell r="HF7">
            <v>8.0849920229961647</v>
          </cell>
          <cell r="HG7">
            <v>5.7311335859213308</v>
          </cell>
          <cell r="HH7">
            <v>3.9401543403209156</v>
          </cell>
          <cell r="HI7">
            <v>3.3772751488464992</v>
          </cell>
        </row>
        <row r="8">
          <cell r="A8" t="str">
            <v>Standard Deviation</v>
          </cell>
          <cell r="B8">
            <v>0.61413056895384455</v>
          </cell>
          <cell r="C8">
            <v>0.48985415637056023</v>
          </cell>
          <cell r="D8">
            <v>0.47169601289795449</v>
          </cell>
          <cell r="E8">
            <v>1.7940151414900323</v>
          </cell>
          <cell r="F8">
            <v>2.9108679972648055</v>
          </cell>
          <cell r="G8">
            <v>0.80589744612903735</v>
          </cell>
          <cell r="H8">
            <v>8.2900722161534365E-2</v>
          </cell>
          <cell r="I8">
            <v>9.3103931125199824E-2</v>
          </cell>
          <cell r="J8">
            <v>0.11040202581455624</v>
          </cell>
          <cell r="K8">
            <v>0.11446295244319471</v>
          </cell>
          <cell r="L8">
            <v>2.1382676400924736</v>
          </cell>
          <cell r="M8">
            <v>1.5281630239039958</v>
          </cell>
          <cell r="N8">
            <v>1.0687252481196194</v>
          </cell>
          <cell r="O8">
            <v>0.92433550742282145</v>
          </cell>
          <cell r="P8">
            <v>2.1105044291626216</v>
          </cell>
          <cell r="Q8">
            <v>1.4960537725709722</v>
          </cell>
          <cell r="R8">
            <v>1.0285369686425436</v>
          </cell>
          <cell r="S8">
            <v>0.88160311597932306</v>
          </cell>
          <cell r="T8">
            <v>9.0618030117338151</v>
          </cell>
          <cell r="U8">
            <v>0.4634960055041068</v>
          </cell>
          <cell r="V8">
            <v>0.90878431286565353</v>
          </cell>
          <cell r="W8">
            <v>0.63038974458604147</v>
          </cell>
          <cell r="X8">
            <v>1.4132692289029234</v>
          </cell>
          <cell r="Y8">
            <v>3.2794035751075974</v>
          </cell>
          <cell r="Z8">
            <v>0.18714124007815658</v>
          </cell>
          <cell r="AA8">
            <v>0.27577083727688578</v>
          </cell>
          <cell r="AB8">
            <v>0.27947660440714645</v>
          </cell>
          <cell r="AC8">
            <v>0.37551773586639897</v>
          </cell>
          <cell r="AD8">
            <v>16.890947015541428</v>
          </cell>
          <cell r="AE8">
            <v>4.4231531388833112</v>
          </cell>
          <cell r="AF8">
            <v>4.357870246475148</v>
          </cell>
          <cell r="AG8">
            <v>3.6895635963118907</v>
          </cell>
          <cell r="AH8">
            <v>16.830604941423434</v>
          </cell>
          <cell r="AI8">
            <v>4.3278698420803119</v>
          </cell>
          <cell r="AJ8">
            <v>4.2610817272333925</v>
          </cell>
          <cell r="AK8">
            <v>3.5531277098560587</v>
          </cell>
          <cell r="AL8">
            <v>113.55423861628239</v>
          </cell>
          <cell r="AM8">
            <v>68.500571744956915</v>
          </cell>
          <cell r="AN8">
            <v>68.733833227337044</v>
          </cell>
          <cell r="AO8">
            <v>0.98069248888616389</v>
          </cell>
          <cell r="AP8">
            <v>2.7743622685978191</v>
          </cell>
          <cell r="AQ8">
            <v>5.2002125355598743</v>
          </cell>
          <cell r="AR8">
            <v>2.0411701732264973</v>
          </cell>
          <cell r="AS8">
            <v>0.59542980079205066</v>
          </cell>
          <cell r="AT8">
            <v>0.6485299613858736</v>
          </cell>
          <cell r="AU8">
            <v>0.74905210540068101</v>
          </cell>
          <cell r="AV8">
            <v>39.209745944506459</v>
          </cell>
          <cell r="AW8">
            <v>14.877336574731707</v>
          </cell>
          <cell r="AX8">
            <v>12.310915289315082</v>
          </cell>
          <cell r="AY8">
            <v>10.941377830876695</v>
          </cell>
          <cell r="AZ8">
            <v>38.592769042869342</v>
          </cell>
          <cell r="BA8">
            <v>14.694989480682722</v>
          </cell>
          <cell r="BB8">
            <v>12.114700260361756</v>
          </cell>
          <cell r="BC8">
            <v>10.705145300459113</v>
          </cell>
          <cell r="BD8">
            <v>5.1128741829145881</v>
          </cell>
          <cell r="BE8">
            <v>4.2416657296585871</v>
          </cell>
          <cell r="BF8" t="str">
            <v>---</v>
          </cell>
          <cell r="BG8">
            <v>1.00896628654302</v>
          </cell>
          <cell r="BH8">
            <v>1.5398155150031612</v>
          </cell>
          <cell r="BI8" t="str">
            <v>---</v>
          </cell>
          <cell r="BJ8">
            <v>0.27709355696629068</v>
          </cell>
          <cell r="BK8">
            <v>0.35335783870013265</v>
          </cell>
          <cell r="BL8">
            <v>0.39487950319966908</v>
          </cell>
          <cell r="BM8">
            <v>0</v>
          </cell>
          <cell r="BN8">
            <v>8.5135268069819432</v>
          </cell>
          <cell r="BO8">
            <v>1.9727846634578736</v>
          </cell>
          <cell r="BP8">
            <v>0.88035551035966009</v>
          </cell>
          <cell r="BQ8">
            <v>0</v>
          </cell>
          <cell r="BR8">
            <v>8.6401460123559239</v>
          </cell>
          <cell r="BS8">
            <v>2.0370326501613176</v>
          </cell>
          <cell r="BT8">
            <v>0.92494930605353098</v>
          </cell>
          <cell r="BU8">
            <v>0</v>
          </cell>
          <cell r="BV8">
            <v>2.0310892254103852</v>
          </cell>
          <cell r="BW8">
            <v>1.8435027535100545</v>
          </cell>
          <cell r="BX8">
            <v>0.74806921096851431</v>
          </cell>
          <cell r="BY8">
            <v>0.89283417434737022</v>
          </cell>
          <cell r="BZ8">
            <v>0.92954868750994768</v>
          </cell>
          <cell r="CA8">
            <v>0.75624510095745578</v>
          </cell>
          <cell r="CB8">
            <v>3.0128126493898566E-2</v>
          </cell>
          <cell r="CC8">
            <v>3.4501587393232946E-2</v>
          </cell>
          <cell r="CD8">
            <v>3.4501587393232946E-2</v>
          </cell>
          <cell r="CE8">
            <v>3.4501587393232946E-2</v>
          </cell>
          <cell r="CF8">
            <v>2.4408190587338754</v>
          </cell>
          <cell r="CG8">
            <v>0.95990181445480782</v>
          </cell>
          <cell r="CH8">
            <v>0.63959846570808143</v>
          </cell>
          <cell r="CI8">
            <v>0.41297953742177529</v>
          </cell>
          <cell r="CJ8">
            <v>2.4310873804278303</v>
          </cell>
          <cell r="CK8">
            <v>0.94839123082624099</v>
          </cell>
          <cell r="CL8">
            <v>0.62780827956103313</v>
          </cell>
          <cell r="CM8">
            <v>0.40072868908151044</v>
          </cell>
          <cell r="CN8">
            <v>0.51196979660244291</v>
          </cell>
          <cell r="CO8">
            <v>0.52640420381782094</v>
          </cell>
          <cell r="CP8">
            <v>0.48761050344443746</v>
          </cell>
          <cell r="CQ8">
            <v>2.1038955314503003</v>
          </cell>
          <cell r="CR8">
            <v>3.6294215563916614</v>
          </cell>
          <cell r="CS8">
            <v>1.0928914756622057</v>
          </cell>
          <cell r="CT8">
            <v>0.1109498482086973</v>
          </cell>
          <cell r="CU8">
            <v>0.12460527190397525</v>
          </cell>
          <cell r="CV8">
            <v>0.14775610738577152</v>
          </cell>
          <cell r="CW8">
            <v>0.15319103221255609</v>
          </cell>
          <cell r="CX8">
            <v>2.1483043751251532</v>
          </cell>
          <cell r="CY8">
            <v>1.5401502073494384</v>
          </cell>
          <cell r="CZ8">
            <v>1.0845324164746857</v>
          </cell>
          <cell r="DA8">
            <v>0.9415093130226414</v>
          </cell>
          <cell r="DB8">
            <v>2.1105044291626216</v>
          </cell>
          <cell r="DC8">
            <v>1.4960537725709722</v>
          </cell>
          <cell r="DD8">
            <v>1.0285369686425436</v>
          </cell>
          <cell r="DE8">
            <v>0.88160311597932306</v>
          </cell>
          <cell r="DF8">
            <v>0.31563961004127394</v>
          </cell>
          <cell r="DG8">
            <v>0.46398975100845785</v>
          </cell>
          <cell r="DH8">
            <v>0.60957629612732045</v>
          </cell>
          <cell r="DI8">
            <v>0.90023531739153151</v>
          </cell>
          <cell r="DJ8">
            <v>0.94242714216021062</v>
          </cell>
          <cell r="DK8">
            <v>0.88546516765268102</v>
          </cell>
          <cell r="DL8">
            <v>8.2900722161534365E-2</v>
          </cell>
          <cell r="DM8">
            <v>9.3103931125199824E-2</v>
          </cell>
          <cell r="DN8">
            <v>0.11040202581455624</v>
          </cell>
          <cell r="DO8">
            <v>0.11446295244319471</v>
          </cell>
          <cell r="DP8">
            <v>2.1382676400924736</v>
          </cell>
          <cell r="DQ8">
            <v>1.5281630239039958</v>
          </cell>
          <cell r="DR8">
            <v>1.0687252481196194</v>
          </cell>
          <cell r="DS8">
            <v>0.92433550742282145</v>
          </cell>
          <cell r="DT8">
            <v>2.1105044291626216</v>
          </cell>
          <cell r="DU8">
            <v>1.4960537725709722</v>
          </cell>
          <cell r="DV8">
            <v>1.0285369686425436</v>
          </cell>
          <cell r="DW8">
            <v>0.88160311597932306</v>
          </cell>
          <cell r="DX8">
            <v>0.80366372904500161</v>
          </cell>
          <cell r="DY8">
            <v>0.81201640861912261</v>
          </cell>
          <cell r="DZ8">
            <v>0.9393685751755857</v>
          </cell>
          <cell r="EA8">
            <v>2.0169604728255544</v>
          </cell>
          <cell r="EB8">
            <v>0.93709371883638271</v>
          </cell>
          <cell r="EC8">
            <v>0.86590668696262452</v>
          </cell>
          <cell r="ED8">
            <v>8.2005338601776404E-2</v>
          </cell>
          <cell r="EE8">
            <v>9.2098346045784776E-2</v>
          </cell>
          <cell r="EF8">
            <v>0.10920960967750792</v>
          </cell>
          <cell r="EG8">
            <v>0.11322667556711052</v>
          </cell>
          <cell r="EH8">
            <v>2.1379525326576907</v>
          </cell>
          <cell r="EI8">
            <v>1.5277895182086796</v>
          </cell>
          <cell r="EJ8">
            <v>1.0682383133395732</v>
          </cell>
          <cell r="EK8">
            <v>0.9238087683237759</v>
          </cell>
          <cell r="EL8">
            <v>2.1105044291626216</v>
          </cell>
          <cell r="EM8">
            <v>1.4960537725709722</v>
          </cell>
          <cell r="EN8">
            <v>1.0285369686425436</v>
          </cell>
          <cell r="EO8">
            <v>0.88160311597932306</v>
          </cell>
          <cell r="EP8">
            <v>1.510029962862276</v>
          </cell>
          <cell r="EQ8">
            <v>1.3012830300026459</v>
          </cell>
          <cell r="ER8">
            <v>1.2914532144755879</v>
          </cell>
          <cell r="ES8">
            <v>1.3378947153462506</v>
          </cell>
          <cell r="ET8">
            <v>2.1436664246949246</v>
          </cell>
          <cell r="EU8">
            <v>0.6388964678292558</v>
          </cell>
          <cell r="EV8">
            <v>6.2067291992854795E-2</v>
          </cell>
          <cell r="EW8">
            <v>6.970637562807222E-2</v>
          </cell>
          <cell r="EX8">
            <v>8.2657359238471451E-2</v>
          </cell>
          <cell r="EY8">
            <v>8.569775155652827E-2</v>
          </cell>
          <cell r="EZ8">
            <v>4.4587878306353952</v>
          </cell>
          <cell r="FA8">
            <v>3.1682380305799298</v>
          </cell>
          <cell r="FB8">
            <v>2.1887819611089991</v>
          </cell>
          <cell r="FC8">
            <v>1.8807977462812719</v>
          </cell>
          <cell r="FD8">
            <v>4.4394040878544327</v>
          </cell>
          <cell r="FE8">
            <v>3.1469193534158006</v>
          </cell>
          <cell r="FF8">
            <v>2.1635070554733646</v>
          </cell>
          <cell r="FG8">
            <v>1.8544346189771683</v>
          </cell>
          <cell r="FH8">
            <v>0.93401071774140254</v>
          </cell>
          <cell r="FI8">
            <v>1.0021455064801374</v>
          </cell>
          <cell r="FJ8">
            <v>0.44138855240962893</v>
          </cell>
          <cell r="FK8">
            <v>1.6782519255856971</v>
          </cell>
          <cell r="FL8">
            <v>2.8796487840812803</v>
          </cell>
          <cell r="FM8">
            <v>2.3487078514688138</v>
          </cell>
          <cell r="FN8">
            <v>9.3841653159958113E-2</v>
          </cell>
          <cell r="FO8">
            <v>0.10539144394249411</v>
          </cell>
          <cell r="FP8">
            <v>0.12497247725368367</v>
          </cell>
          <cell r="FQ8">
            <v>0.12956934997392591</v>
          </cell>
          <cell r="FR8">
            <v>3.4966636006510003</v>
          </cell>
          <cell r="FS8">
            <v>2.491302842679298</v>
          </cell>
          <cell r="FT8">
            <v>1.7309433467496351</v>
          </cell>
          <cell r="FU8">
            <v>1.4918812628568676</v>
          </cell>
          <cell r="FV8">
            <v>3.4679102557167094</v>
          </cell>
          <cell r="FW8">
            <v>2.4582654977232368</v>
          </cell>
          <cell r="FX8">
            <v>1.6900575296847258</v>
          </cell>
          <cell r="FY8">
            <v>1.4486207397297646</v>
          </cell>
          <cell r="FZ8">
            <v>0.48272909950416198</v>
          </cell>
          <cell r="GA8">
            <v>0.42397062449386153</v>
          </cell>
          <cell r="GB8">
            <v>0.21581441650577032</v>
          </cell>
          <cell r="GC8">
            <v>1.691876486869583</v>
          </cell>
          <cell r="GD8">
            <v>2.9617175511135061</v>
          </cell>
          <cell r="GE8">
            <v>2.4409896457088469</v>
          </cell>
          <cell r="GF8">
            <v>9.8727559693423006E-2</v>
          </cell>
          <cell r="GG8">
            <v>0.11087869536220438</v>
          </cell>
          <cell r="GH8">
            <v>0.13147922369895648</v>
          </cell>
          <cell r="GI8">
            <v>0.13631543459900486</v>
          </cell>
          <cell r="GJ8">
            <v>2.1438915726517123</v>
          </cell>
          <cell r="GK8">
            <v>1.5348588715414151</v>
          </cell>
          <cell r="GL8">
            <v>1.0775138294700042</v>
          </cell>
          <cell r="GM8">
            <v>0.93386729496187559</v>
          </cell>
          <cell r="GN8">
            <v>2.1105044291626216</v>
          </cell>
          <cell r="GO8">
            <v>1.4960537725709722</v>
          </cell>
          <cell r="GP8">
            <v>1.0285369686425436</v>
          </cell>
          <cell r="GQ8">
            <v>0.88160311597932306</v>
          </cell>
          <cell r="GR8">
            <v>0.47847810126613732</v>
          </cell>
          <cell r="GS8">
            <v>0.42038009371034918</v>
          </cell>
          <cell r="GT8">
            <v>0.21532116263709308</v>
          </cell>
          <cell r="GU8">
            <v>1.6904569595161727</v>
          </cell>
          <cell r="GV8">
            <v>2.9518982865351053</v>
          </cell>
          <cell r="GW8">
            <v>2.4349225621561557</v>
          </cell>
          <cell r="GX8">
            <v>9.8727559693423006E-2</v>
          </cell>
          <cell r="GY8">
            <v>0.11087869536220438</v>
          </cell>
          <cell r="GZ8">
            <v>0.13147922369895648</v>
          </cell>
          <cell r="HA8">
            <v>0.13631543459900486</v>
          </cell>
          <cell r="HB8">
            <v>2.1438915726517123</v>
          </cell>
          <cell r="HC8">
            <v>1.5348588715414151</v>
          </cell>
          <cell r="HD8">
            <v>1.0775138294700042</v>
          </cell>
          <cell r="HE8">
            <v>0.93386729496187559</v>
          </cell>
          <cell r="HF8">
            <v>2.1105044291626216</v>
          </cell>
          <cell r="HG8">
            <v>1.4960537725709722</v>
          </cell>
          <cell r="HH8">
            <v>1.0285369686425436</v>
          </cell>
          <cell r="HI8">
            <v>0.88160311597932306</v>
          </cell>
        </row>
        <row r="9">
          <cell r="A9" t="str">
            <v>Variance</v>
          </cell>
          <cell r="B9">
            <v>0.37715635572357287</v>
          </cell>
          <cell r="C9">
            <v>0.23995709451351327</v>
          </cell>
          <cell r="D9">
            <v>0.22249712858382723</v>
          </cell>
          <cell r="E9">
            <v>3.2184903278955006</v>
          </cell>
          <cell r="F9">
            <v>8.4731524975004184</v>
          </cell>
          <cell r="G9">
            <v>0.6494706936773047</v>
          </cell>
          <cell r="H9">
            <v>6.8725297349039151E-3</v>
          </cell>
          <cell r="I9">
            <v>8.6683419909659529E-3</v>
          </cell>
          <cell r="J9">
            <v>1.2188607303957944E-2</v>
          </cell>
          <cell r="K9">
            <v>1.3101767482013055E-2</v>
          </cell>
          <cell r="L9">
            <v>4.5721885006666358</v>
          </cell>
          <cell r="M9">
            <v>2.3352822276274048</v>
          </cell>
          <cell r="N9">
            <v>1.1421736559683422</v>
          </cell>
          <cell r="O9">
            <v>0.85439613028260486</v>
          </cell>
          <cell r="P9">
            <v>4.4542289455150428</v>
          </cell>
          <cell r="Q9">
            <v>2.2381768904238379</v>
          </cell>
          <cell r="R9">
            <v>1.0578882958643929</v>
          </cell>
          <cell r="S9">
            <v>0.77722405410445183</v>
          </cell>
          <cell r="T9">
            <v>82.116273823468049</v>
          </cell>
          <cell r="U9">
            <v>0.21482854711826299</v>
          </cell>
          <cell r="V9">
            <v>0.82588892731069807</v>
          </cell>
          <cell r="W9">
            <v>0.39739123007925464</v>
          </cell>
          <cell r="X9">
            <v>1.9973299133638638</v>
          </cell>
          <cell r="Y9">
            <v>10.754487808428491</v>
          </cell>
          <cell r="Z9">
            <v>3.5021843737990242E-2</v>
          </cell>
          <cell r="AA9">
            <v>7.6049554692394605E-2</v>
          </cell>
          <cell r="AB9">
            <v>7.8107172410948625E-2</v>
          </cell>
          <cell r="AC9">
            <v>0.14101356995022657</v>
          </cell>
          <cell r="AD9">
            <v>285.30409108182789</v>
          </cell>
          <cell r="AE9">
            <v>19.564283690013291</v>
          </cell>
          <cell r="AF9">
            <v>18.991033085113369</v>
          </cell>
          <cell r="AG9">
            <v>13.612879531229932</v>
          </cell>
          <cell r="AH9">
            <v>283.2692626942669</v>
          </cell>
          <cell r="AI9">
            <v>18.730457369988262</v>
          </cell>
          <cell r="AJ9">
            <v>18.156817486162314</v>
          </cell>
          <cell r="AK9">
            <v>12.62471652254696</v>
          </cell>
          <cell r="AL9">
            <v>12894.5651077236</v>
          </cell>
          <cell r="AM9">
            <v>4692.3283293859904</v>
          </cell>
          <cell r="AN9">
            <v>4724.3398301233819</v>
          </cell>
          <cell r="AO9">
            <v>0.96175775775773864</v>
          </cell>
          <cell r="AP9">
            <v>7.6970859974192365</v>
          </cell>
          <cell r="AQ9">
            <v>27.042210414994059</v>
          </cell>
          <cell r="AR9">
            <v>4.1663756760694897</v>
          </cell>
          <cell r="AS9">
            <v>0.35453664767126114</v>
          </cell>
          <cell r="AT9">
            <v>0.42059111081516276</v>
          </cell>
          <cell r="AU9">
            <v>0.56107905660519286</v>
          </cell>
          <cell r="AV9">
            <v>1537.4041770327408</v>
          </cell>
          <cell r="AW9">
            <v>221.33514355784979</v>
          </cell>
          <cell r="AX9">
            <v>151.55863526069183</v>
          </cell>
          <cell r="AY9">
            <v>119.71374883799999</v>
          </cell>
          <cell r="AZ9">
            <v>1489.4018223962544</v>
          </cell>
          <cell r="BA9">
            <v>215.94271583737586</v>
          </cell>
          <cell r="BB9">
            <v>146.76596239840919</v>
          </cell>
          <cell r="BC9">
            <v>114.60013590394186</v>
          </cell>
          <cell r="BD9">
            <v>26.141482410314513</v>
          </cell>
          <cell r="BE9">
            <v>17.991728162160111</v>
          </cell>
          <cell r="BF9" t="str">
            <v>---</v>
          </cell>
          <cell r="BG9">
            <v>1.0180129673804117</v>
          </cell>
          <cell r="BH9">
            <v>2.3710318202444505</v>
          </cell>
          <cell r="BI9" t="str">
            <v>---</v>
          </cell>
          <cell r="BJ9">
            <v>7.6780839312230967E-2</v>
          </cell>
          <cell r="BK9">
            <v>0.12486176217082896</v>
          </cell>
          <cell r="BL9">
            <v>0.15592982204721745</v>
          </cell>
          <cell r="BM9">
            <v>0</v>
          </cell>
          <cell r="BN9">
            <v>72.480138693200175</v>
          </cell>
          <cell r="BO9">
            <v>3.8918793283745954</v>
          </cell>
          <cell r="BP9">
            <v>0.77502582462061764</v>
          </cell>
          <cell r="BQ9">
            <v>0</v>
          </cell>
          <cell r="BR9">
            <v>74.652123114829962</v>
          </cell>
          <cell r="BS9">
            <v>4.1495020178232416</v>
          </cell>
          <cell r="BT9">
            <v>0.85553121876890859</v>
          </cell>
          <cell r="BU9">
            <v>0</v>
          </cell>
          <cell r="BV9">
            <v>4.1253234415781588</v>
          </cell>
          <cell r="BW9">
            <v>3.3985024021991528</v>
          </cell>
          <cell r="BX9">
            <v>0.55960754439905558</v>
          </cell>
          <cell r="BY9">
            <v>0.79715286288255038</v>
          </cell>
          <cell r="BZ9">
            <v>0.86406076245146646</v>
          </cell>
          <cell r="CA9">
            <v>0.57190665272215246</v>
          </cell>
          <cell r="CB9">
            <v>9.0770400603235274E-4</v>
          </cell>
          <cell r="CC9">
            <v>1.1903595326528908E-3</v>
          </cell>
          <cell r="CD9">
            <v>1.1903595326528908E-3</v>
          </cell>
          <cell r="CE9">
            <v>1.1903595326528908E-3</v>
          </cell>
          <cell r="CF9">
            <v>5.9575976774785211</v>
          </cell>
          <cell r="CG9">
            <v>0.92141149339363226</v>
          </cell>
          <cell r="CH9">
            <v>0.40908619733613177</v>
          </cell>
          <cell r="CI9">
            <v>0.17055209832910351</v>
          </cell>
          <cell r="CJ9">
            <v>5.9101858512754504</v>
          </cell>
          <cell r="CK9">
            <v>0.8994459267081123</v>
          </cell>
          <cell r="CL9">
            <v>0.39414323588538436</v>
          </cell>
          <cell r="CM9">
            <v>0.16058348225298588</v>
          </cell>
          <cell r="CN9">
            <v>0.2621130726331467</v>
          </cell>
          <cell r="CO9">
            <v>0.277101385797074</v>
          </cell>
          <cell r="CP9">
            <v>0.23776400306933773</v>
          </cell>
          <cell r="CQ9">
            <v>4.4263764072565408</v>
          </cell>
          <cell r="CR9">
            <v>13.172700834000469</v>
          </cell>
          <cell r="CS9">
            <v>1.1944117775751137</v>
          </cell>
          <cell r="CT9">
            <v>1.2309868817532972E-2</v>
          </cell>
          <cell r="CU9">
            <v>1.5526473786263604E-2</v>
          </cell>
          <cell r="CV9">
            <v>2.1831867269795645E-2</v>
          </cell>
          <cell r="CW9">
            <v>2.3467492350348396E-2</v>
          </cell>
          <cell r="CX9">
            <v>4.6152116881818754</v>
          </cell>
          <cell r="CY9">
            <v>2.3720626611985183</v>
          </cell>
          <cell r="CZ9">
            <v>1.176210562384421</v>
          </cell>
          <cell r="DA9">
            <v>0.88643978650836619</v>
          </cell>
          <cell r="DB9">
            <v>4.4542289455150428</v>
          </cell>
          <cell r="DC9">
            <v>2.2381768904238379</v>
          </cell>
          <cell r="DD9">
            <v>1.0578882958643929</v>
          </cell>
          <cell r="DE9">
            <v>0.77722405410445183</v>
          </cell>
          <cell r="DF9">
            <v>9.9628363427007496E-2</v>
          </cell>
          <cell r="DG9">
            <v>0.21528648904089071</v>
          </cell>
          <cell r="DH9">
            <v>0.37158326080030263</v>
          </cell>
          <cell r="DI9">
            <v>0.81042362667903156</v>
          </cell>
          <cell r="DJ9">
            <v>0.88816891828026179</v>
          </cell>
          <cell r="DK9">
            <v>0.78404856312619042</v>
          </cell>
          <cell r="DL9">
            <v>6.8725297349039151E-3</v>
          </cell>
          <cell r="DM9">
            <v>8.6683419909659529E-3</v>
          </cell>
          <cell r="DN9">
            <v>1.2188607303957944E-2</v>
          </cell>
          <cell r="DO9">
            <v>1.3101767482013055E-2</v>
          </cell>
          <cell r="DP9">
            <v>4.5721885006666358</v>
          </cell>
          <cell r="DQ9">
            <v>2.3352822276274048</v>
          </cell>
          <cell r="DR9">
            <v>1.1421736559683422</v>
          </cell>
          <cell r="DS9">
            <v>0.85439613028260486</v>
          </cell>
          <cell r="DT9">
            <v>4.4542289455150428</v>
          </cell>
          <cell r="DU9">
            <v>2.2381768904238379</v>
          </cell>
          <cell r="DV9">
            <v>1.0578882958643929</v>
          </cell>
          <cell r="DW9">
            <v>0.77722405410445183</v>
          </cell>
          <cell r="DX9">
            <v>0.64587538938251776</v>
          </cell>
          <cell r="DY9">
            <v>0.65937064786669797</v>
          </cell>
          <cell r="DZ9">
            <v>0.88241332002740991</v>
          </cell>
          <cell r="EA9">
            <v>4.068129548940683</v>
          </cell>
          <cell r="EB9">
            <v>0.87814463788260144</v>
          </cell>
          <cell r="EC9">
            <v>0.74979439052658858</v>
          </cell>
          <cell r="ED9">
            <v>6.7248755591919991E-3</v>
          </cell>
          <cell r="EE9">
            <v>8.4821053443691202E-3</v>
          </cell>
          <cell r="EF9">
            <v>1.1926738845913632E-2</v>
          </cell>
          <cell r="EG9">
            <v>1.2820280059979703E-2</v>
          </cell>
          <cell r="EH9">
            <v>4.5708410318974346</v>
          </cell>
          <cell r="EI9">
            <v>2.3341408119483091</v>
          </cell>
          <cell r="EJ9">
            <v>1.141133094086576</v>
          </cell>
          <cell r="EK9">
            <v>0.85342264043189187</v>
          </cell>
          <cell r="EL9">
            <v>4.4542289455150428</v>
          </cell>
          <cell r="EM9">
            <v>2.2381768904238379</v>
          </cell>
          <cell r="EN9">
            <v>1.0578882958643929</v>
          </cell>
          <cell r="EO9">
            <v>0.77722405410445183</v>
          </cell>
          <cell r="EP9">
            <v>2.2801904887418463</v>
          </cell>
          <cell r="EQ9">
            <v>1.6933375241728668</v>
          </cell>
          <cell r="ER9">
            <v>1.6678514051793287</v>
          </cell>
          <cell r="ES9">
            <v>1.789962269351425</v>
          </cell>
          <cell r="ET9">
            <v>4.5953057403643216</v>
          </cell>
          <cell r="EU9">
            <v>0.40818869660469925</v>
          </cell>
          <cell r="EV9">
            <v>3.852348735326297E-3</v>
          </cell>
          <cell r="EW9">
            <v>4.8589788032019016E-3</v>
          </cell>
          <cell r="EX9">
            <v>6.8322390362777208E-3</v>
          </cell>
          <cell r="EY9">
            <v>7.3441046218444437E-3</v>
          </cell>
          <cell r="EZ9">
            <v>19.88078891862229</v>
          </cell>
          <cell r="FA9">
            <v>10.037732218412993</v>
          </cell>
          <cell r="FB9">
            <v>4.7907664732761557</v>
          </cell>
          <cell r="FC9">
            <v>3.537400162416712</v>
          </cell>
          <cell r="FD9">
            <v>19.708308655258644</v>
          </cell>
          <cell r="FE9">
            <v>9.9031014169029206</v>
          </cell>
          <cell r="FF9">
            <v>4.680762779083028</v>
          </cell>
          <cell r="FG9">
            <v>3.4389277560609957</v>
          </cell>
          <cell r="FH9">
            <v>0.8723760208558099</v>
          </cell>
          <cell r="FI9">
            <v>1.0042956161583312</v>
          </cell>
          <cell r="FJ9">
            <v>0.19482385419826775</v>
          </cell>
          <cell r="FK9">
            <v>2.8165295257321006</v>
          </cell>
          <cell r="FL9">
            <v>8.2923771196607952</v>
          </cell>
          <cell r="FM9">
            <v>5.516428571551252</v>
          </cell>
          <cell r="FN9">
            <v>8.8062558677938774E-3</v>
          </cell>
          <cell r="FO9">
            <v>1.1107356456283879E-2</v>
          </cell>
          <cell r="FP9">
            <v>1.5618120070922482E-2</v>
          </cell>
          <cell r="FQ9">
            <v>1.6788216452665695E-2</v>
          </cell>
          <cell r="FR9">
            <v>12.226656336117619</v>
          </cell>
          <cell r="FS9">
            <v>6.2065898539419502</v>
          </cell>
          <cell r="FT9">
            <v>2.9961648696568277</v>
          </cell>
          <cell r="FU9">
            <v>2.2257097024634023</v>
          </cell>
          <cell r="FV9">
            <v>12.026401541705132</v>
          </cell>
          <cell r="FW9">
            <v>6.0430692572964722</v>
          </cell>
          <cell r="FX9">
            <v>2.856294453644038</v>
          </cell>
          <cell r="FY9">
            <v>2.0985020475752103</v>
          </cell>
          <cell r="FZ9">
            <v>0.23302738350809912</v>
          </cell>
          <cell r="GA9">
            <v>0.17975109043371493</v>
          </cell>
          <cell r="GB9">
            <v>4.6575862371726111E-2</v>
          </cell>
          <cell r="GC9">
            <v>2.8624460468221624</v>
          </cell>
          <cell r="GD9">
            <v>8.7717708525737841</v>
          </cell>
          <cell r="GE9">
            <v>5.9584304504578025</v>
          </cell>
          <cell r="GF9">
            <v>9.747131043018404E-3</v>
          </cell>
          <cell r="GG9">
            <v>1.2294085085224522E-2</v>
          </cell>
          <cell r="GH9">
            <v>1.7286786264480242E-2</v>
          </cell>
          <cell r="GI9">
            <v>1.8581897709915571E-2</v>
          </cell>
          <cell r="GJ9">
            <v>4.5962710752870324</v>
          </cell>
          <cell r="GK9">
            <v>2.3557917555493861</v>
          </cell>
          <cell r="GL9">
            <v>1.161036052699113</v>
          </cell>
          <cell r="GM9">
            <v>0.87210812459941078</v>
          </cell>
          <cell r="GN9">
            <v>4.4542289455150428</v>
          </cell>
          <cell r="GO9">
            <v>2.2381768904238379</v>
          </cell>
          <cell r="GP9">
            <v>1.0578882958643929</v>
          </cell>
          <cell r="GQ9">
            <v>0.77722405410445183</v>
          </cell>
          <cell r="GR9">
            <v>0.22894129339124794</v>
          </cell>
          <cell r="GS9">
            <v>0.17671942318792194</v>
          </cell>
          <cell r="GT9">
            <v>4.6363203079389494E-2</v>
          </cell>
          <cell r="GU9">
            <v>2.8576447319766634</v>
          </cell>
          <cell r="GV9">
            <v>8.7137034940488896</v>
          </cell>
          <cell r="GW9">
            <v>5.9288478836970979</v>
          </cell>
          <cell r="GX9">
            <v>9.747131043018404E-3</v>
          </cell>
          <cell r="GY9">
            <v>1.2294085085224522E-2</v>
          </cell>
          <cell r="GZ9">
            <v>1.7286786264480242E-2</v>
          </cell>
          <cell r="HA9">
            <v>1.8581897709915571E-2</v>
          </cell>
          <cell r="HB9">
            <v>4.5962710752870324</v>
          </cell>
          <cell r="HC9">
            <v>2.3557917555493861</v>
          </cell>
          <cell r="HD9">
            <v>1.161036052699113</v>
          </cell>
          <cell r="HE9">
            <v>0.87210812459941078</v>
          </cell>
          <cell r="HF9">
            <v>4.4542289455150428</v>
          </cell>
          <cell r="HG9">
            <v>2.2381768904238379</v>
          </cell>
          <cell r="HH9">
            <v>1.0578882958643929</v>
          </cell>
          <cell r="HI9">
            <v>0.77722405410445183</v>
          </cell>
        </row>
        <row r="10">
          <cell r="A10" t="str">
            <v>Skewness</v>
          </cell>
          <cell r="B10">
            <v>2.0058375015772913</v>
          </cell>
          <cell r="C10">
            <v>1.5027740539207264</v>
          </cell>
          <cell r="D10">
            <v>1.4162757677693134</v>
          </cell>
          <cell r="E10">
            <v>1.1962023958605692</v>
          </cell>
          <cell r="F10">
            <v>-0.90232655896783831</v>
          </cell>
          <cell r="G10">
            <v>-0.34149075247373889</v>
          </cell>
          <cell r="H10">
            <v>0.39564000588873044</v>
          </cell>
          <cell r="I10">
            <v>0.39564000588733977</v>
          </cell>
          <cell r="J10">
            <v>0.39564000588837284</v>
          </cell>
          <cell r="K10">
            <v>0.39564000588906489</v>
          </cell>
          <cell r="L10">
            <v>0.99197328898723425</v>
          </cell>
          <cell r="M10">
            <v>0.99367308030139767</v>
          </cell>
          <cell r="N10">
            <v>0.99729903609332315</v>
          </cell>
          <cell r="O10">
            <v>0.99919919525254974</v>
          </cell>
          <cell r="P10">
            <v>0.98938495073172428</v>
          </cell>
          <cell r="Q10">
            <v>0.9893849507317386</v>
          </cell>
          <cell r="R10">
            <v>0.98938495073171462</v>
          </cell>
          <cell r="S10">
            <v>0.98938495073172594</v>
          </cell>
          <cell r="T10">
            <v>4.9218618745543674</v>
          </cell>
          <cell r="U10">
            <v>4.9247388109027046</v>
          </cell>
          <cell r="V10">
            <v>1.7615438047049661</v>
          </cell>
          <cell r="W10">
            <v>4.1493967044830331</v>
          </cell>
          <cell r="X10">
            <v>-0.47865979056729047</v>
          </cell>
          <cell r="Y10">
            <v>-0.47843479235427411</v>
          </cell>
          <cell r="Z10">
            <v>0.39564000588786091</v>
          </cell>
          <cell r="AA10">
            <v>0.3956400058904056</v>
          </cell>
          <cell r="AB10">
            <v>0.395640005889768</v>
          </cell>
          <cell r="AC10">
            <v>0.39564000588966908</v>
          </cell>
          <cell r="AD10">
            <v>0.99007109712873453</v>
          </cell>
          <cell r="AE10">
            <v>0.99378713483314551</v>
          </cell>
          <cell r="AF10">
            <v>0.99393109141998659</v>
          </cell>
          <cell r="AG10">
            <v>0.99716125013357548</v>
          </cell>
          <cell r="AH10">
            <v>0.98938495073173061</v>
          </cell>
          <cell r="AI10">
            <v>0.98938495073172572</v>
          </cell>
          <cell r="AJ10">
            <v>0.98938495073174204</v>
          </cell>
          <cell r="AK10">
            <v>0.98938495073173438</v>
          </cell>
          <cell r="AL10">
            <v>-0.31544384936472397</v>
          </cell>
          <cell r="AM10">
            <v>-0.28412343859782052</v>
          </cell>
          <cell r="AN10">
            <v>-0.26681352511669842</v>
          </cell>
          <cell r="AO10">
            <v>-0.4033925052789446</v>
          </cell>
          <cell r="AP10">
            <v>0.57144006760227373</v>
          </cell>
          <cell r="AQ10">
            <v>0.57144006760227717</v>
          </cell>
          <cell r="AR10">
            <v>0.39564000588801046</v>
          </cell>
          <cell r="AS10">
            <v>0.39564000589005965</v>
          </cell>
          <cell r="AT10">
            <v>0.39564000588958131</v>
          </cell>
          <cell r="AU10">
            <v>0.39564000588716597</v>
          </cell>
          <cell r="AV10">
            <v>0.87921996664778246</v>
          </cell>
          <cell r="AW10">
            <v>0.87660768251986632</v>
          </cell>
          <cell r="AX10">
            <v>0.87935546199884052</v>
          </cell>
          <cell r="AY10">
            <v>0.8828131245711528</v>
          </cell>
          <cell r="AZ10">
            <v>0.86810273954921247</v>
          </cell>
          <cell r="BA10">
            <v>0.87210687890651772</v>
          </cell>
          <cell r="BB10">
            <v>0.86810273954920369</v>
          </cell>
          <cell r="BC10">
            <v>0.87210687890649441</v>
          </cell>
          <cell r="BD10">
            <v>3.1620043995046698</v>
          </cell>
          <cell r="BE10">
            <v>3.0800749215075642</v>
          </cell>
          <cell r="BF10" t="str">
            <v>---</v>
          </cell>
          <cell r="BG10">
            <v>1.9812168105728483</v>
          </cell>
          <cell r="BH10">
            <v>1.3425838783743902</v>
          </cell>
          <cell r="BI10" t="str">
            <v>---</v>
          </cell>
          <cell r="BJ10">
            <v>4.7962463698236611E-2</v>
          </cell>
          <cell r="BK10">
            <v>4.7962463698725658E-2</v>
          </cell>
          <cell r="BL10">
            <v>4.7962463698624641E-2</v>
          </cell>
          <cell r="BM10" t="str">
            <v>---</v>
          </cell>
          <cell r="BN10">
            <v>1.9891126041093041</v>
          </cell>
          <cell r="BO10">
            <v>1.735720530489067</v>
          </cell>
          <cell r="BP10">
            <v>1.5506833615757256</v>
          </cell>
          <cell r="BQ10" t="str">
            <v>---</v>
          </cell>
          <cell r="BR10">
            <v>1.9510750161848971</v>
          </cell>
          <cell r="BS10">
            <v>1.8117086525725115</v>
          </cell>
          <cell r="BT10">
            <v>2.0226987654893493</v>
          </cell>
          <cell r="BU10" t="str">
            <v>---</v>
          </cell>
          <cell r="BV10">
            <v>2.2063146495917771</v>
          </cell>
          <cell r="BW10">
            <v>2.0872876358050245</v>
          </cell>
          <cell r="BX10">
            <v>1.3141050120502291</v>
          </cell>
          <cell r="BY10">
            <v>1.7591533998776563</v>
          </cell>
          <cell r="BZ10">
            <v>1.1635406484406572</v>
          </cell>
          <cell r="CA10">
            <v>-1.7512557991652808</v>
          </cell>
          <cell r="CB10">
            <v>0.39564000589041376</v>
          </cell>
          <cell r="CC10">
            <v>0.39564000589041604</v>
          </cell>
          <cell r="CD10">
            <v>0.39564000589041604</v>
          </cell>
          <cell r="CE10">
            <v>0.39564000589041604</v>
          </cell>
          <cell r="CF10">
            <v>0.9901521864365439</v>
          </cell>
          <cell r="CG10">
            <v>0.99176734403030109</v>
          </cell>
          <cell r="CH10">
            <v>0.99312138224100988</v>
          </cell>
          <cell r="CI10">
            <v>0.99555287687866523</v>
          </cell>
          <cell r="CJ10">
            <v>0.9893849507317326</v>
          </cell>
          <cell r="CK10">
            <v>0.98938495073171251</v>
          </cell>
          <cell r="CL10">
            <v>0.98938495073172161</v>
          </cell>
          <cell r="CM10">
            <v>0.98938495073171839</v>
          </cell>
          <cell r="CN10">
            <v>2.5558869570106659</v>
          </cell>
          <cell r="CO10">
            <v>0.6266820866742735</v>
          </cell>
          <cell r="CP10">
            <v>0.81304539273914977</v>
          </cell>
          <cell r="CQ10">
            <v>1.2079581495518166</v>
          </cell>
          <cell r="CR10">
            <v>-0.86609616048590787</v>
          </cell>
          <cell r="CS10">
            <v>-0.34338637082218559</v>
          </cell>
          <cell r="CT10">
            <v>0.39564000588636733</v>
          </cell>
          <cell r="CU10">
            <v>0.39564000588988962</v>
          </cell>
          <cell r="CV10">
            <v>0.3956400058896602</v>
          </cell>
          <cell r="CW10">
            <v>0.39564000588865961</v>
          </cell>
          <cell r="CX10">
            <v>0.99294302243841437</v>
          </cell>
          <cell r="CY10">
            <v>0.9953266868715539</v>
          </cell>
          <cell r="CZ10">
            <v>1.0003823455285592</v>
          </cell>
          <cell r="DA10">
            <v>1.0029707072551235</v>
          </cell>
          <cell r="DB10">
            <v>0.98938495073172428</v>
          </cell>
          <cell r="DC10">
            <v>0.9893849507317386</v>
          </cell>
          <cell r="DD10">
            <v>0.98938495073171462</v>
          </cell>
          <cell r="DE10">
            <v>0.98938495073172594</v>
          </cell>
          <cell r="DF10">
            <v>5.6334465372904123</v>
          </cell>
          <cell r="DG10">
            <v>0.99374555085269334</v>
          </cell>
          <cell r="DH10">
            <v>0.99263529660419636</v>
          </cell>
          <cell r="DI10">
            <v>4.1623651474864154</v>
          </cell>
          <cell r="DJ10">
            <v>-0.4855864117380928</v>
          </cell>
          <cell r="DK10">
            <v>-0.48548882075585414</v>
          </cell>
          <cell r="DL10">
            <v>0.39564000588873044</v>
          </cell>
          <cell r="DM10">
            <v>0.39564000588733977</v>
          </cell>
          <cell r="DN10">
            <v>0.39564000588837284</v>
          </cell>
          <cell r="DO10">
            <v>0.39564000588906489</v>
          </cell>
          <cell r="DP10">
            <v>0.99197328898723425</v>
          </cell>
          <cell r="DQ10">
            <v>0.99367308030139767</v>
          </cell>
          <cell r="DR10">
            <v>0.99729903609332315</v>
          </cell>
          <cell r="DS10">
            <v>0.99919919525254974</v>
          </cell>
          <cell r="DT10">
            <v>0.98938495073172428</v>
          </cell>
          <cell r="DU10">
            <v>0.9893849507317386</v>
          </cell>
          <cell r="DV10">
            <v>0.98938495073171462</v>
          </cell>
          <cell r="DW10">
            <v>0.98938495073172594</v>
          </cell>
          <cell r="DX10">
            <v>0.73622031713874359</v>
          </cell>
          <cell r="DY10">
            <v>1.1881957143402702</v>
          </cell>
          <cell r="DZ10">
            <v>1.1656817115735436</v>
          </cell>
          <cell r="EA10">
            <v>-0.33485595108261806</v>
          </cell>
          <cell r="EB10">
            <v>-9.5223527630308766E-2</v>
          </cell>
          <cell r="EC10">
            <v>-0.20333983606594394</v>
          </cell>
          <cell r="ED10">
            <v>0.39564000588794646</v>
          </cell>
          <cell r="EE10">
            <v>0.39564000588826725</v>
          </cell>
          <cell r="EF10">
            <v>0.39564000588946979</v>
          </cell>
          <cell r="EG10">
            <v>0.39564000589106257</v>
          </cell>
          <cell r="EH10">
            <v>0.99194303761581426</v>
          </cell>
          <cell r="EI10">
            <v>0.99362166264280372</v>
          </cell>
          <cell r="EJ10">
            <v>0.99720233260900326</v>
          </cell>
          <cell r="EK10">
            <v>0.99907966500908563</v>
          </cell>
          <cell r="EL10">
            <v>0.98938495073172428</v>
          </cell>
          <cell r="EM10">
            <v>0.9893849507317386</v>
          </cell>
          <cell r="EN10">
            <v>0.98938495073171462</v>
          </cell>
          <cell r="EO10">
            <v>0.98938495073172594</v>
          </cell>
          <cell r="EP10">
            <v>2.3849642337678212</v>
          </cell>
          <cell r="EQ10">
            <v>0.63605434261290517</v>
          </cell>
          <cell r="ER10">
            <v>0.92708123979384038</v>
          </cell>
          <cell r="ES10">
            <v>1.79325746992094</v>
          </cell>
          <cell r="ET10">
            <v>-1.4040595369501552</v>
          </cell>
          <cell r="EU10">
            <v>-0.32357699473580703</v>
          </cell>
          <cell r="EV10">
            <v>0.39564000588876308</v>
          </cell>
          <cell r="EW10">
            <v>0.39564000588971687</v>
          </cell>
          <cell r="EX10">
            <v>0.39564000588956416</v>
          </cell>
          <cell r="EY10">
            <v>0.39564000588748227</v>
          </cell>
          <cell r="EZ10">
            <v>0.8710258707648717</v>
          </cell>
          <cell r="FA10">
            <v>0.87274071548698118</v>
          </cell>
          <cell r="FB10">
            <v>0.87611999186697609</v>
          </cell>
          <cell r="FC10">
            <v>0.87780784380548127</v>
          </cell>
          <cell r="FD10">
            <v>0.87210687890651617</v>
          </cell>
          <cell r="FE10">
            <v>0.87210687890652028</v>
          </cell>
          <cell r="FF10">
            <v>0.87210687890653182</v>
          </cell>
          <cell r="FG10">
            <v>0.87210687890652538</v>
          </cell>
          <cell r="FH10">
            <v>2.4021777284481223</v>
          </cell>
          <cell r="FI10">
            <v>2.6538638330850897</v>
          </cell>
          <cell r="FJ10">
            <v>1.8184079789027272</v>
          </cell>
          <cell r="FK10">
            <v>1.7913408896145269</v>
          </cell>
          <cell r="FL10">
            <v>1.2436387107972793</v>
          </cell>
          <cell r="FM10">
            <v>-1.4000607949461845</v>
          </cell>
          <cell r="FN10">
            <v>0.39564000589095949</v>
          </cell>
          <cell r="FO10">
            <v>0.3956400058891052</v>
          </cell>
          <cell r="FP10">
            <v>0.39564000589162823</v>
          </cell>
          <cell r="FQ10">
            <v>0.39564000588957809</v>
          </cell>
          <cell r="FR10">
            <v>0.9189633465238557</v>
          </cell>
          <cell r="FS10">
            <v>0.92150108976107092</v>
          </cell>
          <cell r="FT10">
            <v>0.92654887013887233</v>
          </cell>
          <cell r="FU10">
            <v>0.92908051730945751</v>
          </cell>
          <cell r="FV10">
            <v>0.91469885859414801</v>
          </cell>
          <cell r="FW10">
            <v>0.91469885859413325</v>
          </cell>
          <cell r="FX10">
            <v>0.91469885859414224</v>
          </cell>
          <cell r="FY10">
            <v>0.91469885859411781</v>
          </cell>
          <cell r="FZ10">
            <v>2.8563597669784904</v>
          </cell>
          <cell r="GA10">
            <v>2.8779110708305158</v>
          </cell>
          <cell r="GB10">
            <v>2.0182914906785414</v>
          </cell>
          <cell r="GC10">
            <v>1.8179943883877252</v>
          </cell>
          <cell r="GD10">
            <v>1.2742219861332471</v>
          </cell>
          <cell r="GE10">
            <v>-1.3927025428358817</v>
          </cell>
          <cell r="GF10">
            <v>0.39564000588934223</v>
          </cell>
          <cell r="GG10">
            <v>0.39564000588701731</v>
          </cell>
          <cell r="GH10">
            <v>0.39564000588969411</v>
          </cell>
          <cell r="GI10">
            <v>0.39564000588818948</v>
          </cell>
          <cell r="GJ10">
            <v>0.99251532886912974</v>
          </cell>
          <cell r="GK10">
            <v>0.99459641373886631</v>
          </cell>
          <cell r="GL10">
            <v>0.999028437859799</v>
          </cell>
          <cell r="GM10">
            <v>1.0013250582055544</v>
          </cell>
          <cell r="GN10">
            <v>0.98938495073172428</v>
          </cell>
          <cell r="GO10">
            <v>0.9893849507317386</v>
          </cell>
          <cell r="GP10">
            <v>0.98938495073171462</v>
          </cell>
          <cell r="GQ10">
            <v>0.98938495073172594</v>
          </cell>
          <cell r="GR10">
            <v>2.8382097735716822</v>
          </cell>
          <cell r="GS10">
            <v>2.7920181092577172</v>
          </cell>
          <cell r="GT10">
            <v>1.9350295440099308</v>
          </cell>
          <cell r="GU10">
            <v>1.8110725013562503</v>
          </cell>
          <cell r="GV10">
            <v>1.2726471855080277</v>
          </cell>
          <cell r="GW10">
            <v>-1.3798643908545927</v>
          </cell>
          <cell r="GX10">
            <v>0.39564000588934223</v>
          </cell>
          <cell r="GY10">
            <v>0.39564000588701731</v>
          </cell>
          <cell r="GZ10">
            <v>0.39564000588969411</v>
          </cell>
          <cell r="HA10">
            <v>0.39564000588818948</v>
          </cell>
          <cell r="HB10">
            <v>0.99251532886912974</v>
          </cell>
          <cell r="HC10">
            <v>0.99459641373886631</v>
          </cell>
          <cell r="HD10">
            <v>0.999028437859799</v>
          </cell>
          <cell r="HE10">
            <v>1.0013250582055544</v>
          </cell>
          <cell r="HF10">
            <v>0.98938495073172428</v>
          </cell>
          <cell r="HG10">
            <v>0.9893849507317386</v>
          </cell>
          <cell r="HH10">
            <v>0.98938495073171462</v>
          </cell>
          <cell r="HI10">
            <v>0.98938495073172594</v>
          </cell>
        </row>
        <row r="11">
          <cell r="A11" t="str">
            <v>Kurtosis</v>
          </cell>
          <cell r="B11">
            <v>6.4646987464322851</v>
          </cell>
          <cell r="C11">
            <v>5.7664793620482513</v>
          </cell>
          <cell r="D11">
            <v>5.362179252394129</v>
          </cell>
          <cell r="E11">
            <v>2.490737232349455</v>
          </cell>
          <cell r="F11">
            <v>2.1225854978542551</v>
          </cell>
          <cell r="G11">
            <v>2.1503722120352227</v>
          </cell>
          <cell r="H11">
            <v>2.423852240982971</v>
          </cell>
          <cell r="I11">
            <v>2.4238522409821872</v>
          </cell>
          <cell r="J11">
            <v>2.4238522409827179</v>
          </cell>
          <cell r="K11">
            <v>2.4238522409831251</v>
          </cell>
          <cell r="L11">
            <v>3.342361246218029</v>
          </cell>
          <cell r="M11">
            <v>3.3260646888686844</v>
          </cell>
          <cell r="N11">
            <v>3.3001489888808737</v>
          </cell>
          <cell r="O11">
            <v>3.289891153659696</v>
          </cell>
          <cell r="P11">
            <v>3.3757623605941784</v>
          </cell>
          <cell r="Q11">
            <v>3.375762360594198</v>
          </cell>
          <cell r="R11">
            <v>3.3757623605941616</v>
          </cell>
          <cell r="S11">
            <v>3.375762360594178</v>
          </cell>
          <cell r="T11">
            <v>28.121931034613532</v>
          </cell>
          <cell r="U11">
            <v>29.08796369893615</v>
          </cell>
          <cell r="V11">
            <v>8.434886949426005</v>
          </cell>
          <cell r="W11">
            <v>18.308753553402532</v>
          </cell>
          <cell r="X11">
            <v>2.1351635746632875</v>
          </cell>
          <cell r="Y11">
            <v>2.1351296332360756</v>
          </cell>
          <cell r="Z11">
            <v>2.4238522409824328</v>
          </cell>
          <cell r="AA11">
            <v>2.4238522409838374</v>
          </cell>
          <cell r="AB11">
            <v>2.4238522409834764</v>
          </cell>
          <cell r="AC11">
            <v>2.4238522409834204</v>
          </cell>
          <cell r="AD11">
            <v>3.3655645646293282</v>
          </cell>
          <cell r="AE11">
            <v>3.3250854688934166</v>
          </cell>
          <cell r="AF11">
            <v>3.3238676311085902</v>
          </cell>
          <cell r="AG11">
            <v>3.3009678459480076</v>
          </cell>
          <cell r="AH11">
            <v>3.3757623605941873</v>
          </cell>
          <cell r="AI11">
            <v>3.3757623605941802</v>
          </cell>
          <cell r="AJ11">
            <v>3.3757623605942055</v>
          </cell>
          <cell r="AK11">
            <v>3.3757623605941913</v>
          </cell>
          <cell r="AL11">
            <v>1.2258279128134872</v>
          </cell>
          <cell r="AM11">
            <v>1.2578692586604452</v>
          </cell>
          <cell r="AN11">
            <v>1.2800158368035495</v>
          </cell>
          <cell r="AO11">
            <v>1.1608894017169402</v>
          </cell>
          <cell r="AP11">
            <v>1.4960147420189061</v>
          </cell>
          <cell r="AQ11">
            <v>1.4960147420189072</v>
          </cell>
          <cell r="AR11">
            <v>2.4238522409825349</v>
          </cell>
          <cell r="AS11">
            <v>2.4238522409836554</v>
          </cell>
          <cell r="AT11">
            <v>2.4238522409833605</v>
          </cell>
          <cell r="AU11">
            <v>2.4238522409821353</v>
          </cell>
          <cell r="AV11">
            <v>3.5186614350784278</v>
          </cell>
          <cell r="AW11">
            <v>3.5214319492489099</v>
          </cell>
          <cell r="AX11">
            <v>3.5185246672700621</v>
          </cell>
          <cell r="AY11">
            <v>3.515248423521935</v>
          </cell>
          <cell r="AZ11">
            <v>3.5324747655139155</v>
          </cell>
          <cell r="BA11">
            <v>3.5416676717099747</v>
          </cell>
          <cell r="BB11">
            <v>3.5324747655138991</v>
          </cell>
          <cell r="BC11">
            <v>3.5416676717099529</v>
          </cell>
          <cell r="BD11">
            <v>14.592156087744785</v>
          </cell>
          <cell r="BE11">
            <v>14.318066154392183</v>
          </cell>
          <cell r="BF11" t="str">
            <v>---</v>
          </cell>
          <cell r="BG11">
            <v>4.9873496533591117</v>
          </cell>
          <cell r="BH11">
            <v>2.979088497336682</v>
          </cell>
          <cell r="BI11" t="str">
            <v>---</v>
          </cell>
          <cell r="BJ11">
            <v>1.2484229135397742</v>
          </cell>
          <cell r="BK11">
            <v>1.2484229135398015</v>
          </cell>
          <cell r="BL11">
            <v>1.2484229135397902</v>
          </cell>
          <cell r="BM11" t="str">
            <v>---</v>
          </cell>
          <cell r="BN11">
            <v>7.7550448474357871</v>
          </cell>
          <cell r="BO11">
            <v>7.0252395220642061</v>
          </cell>
          <cell r="BP11">
            <v>6.791154165144806</v>
          </cell>
          <cell r="BQ11" t="str">
            <v>---</v>
          </cell>
          <cell r="BR11">
            <v>7.5530656895590473</v>
          </cell>
          <cell r="BS11">
            <v>7.1790400724435619</v>
          </cell>
          <cell r="BT11">
            <v>7.9330395347479135</v>
          </cell>
          <cell r="BU11" t="str">
            <v>---</v>
          </cell>
          <cell r="BV11">
            <v>6.8390608176292993</v>
          </cell>
          <cell r="BW11">
            <v>6.4569557094553351</v>
          </cell>
          <cell r="BX11">
            <v>5.644774680734832</v>
          </cell>
          <cell r="BY11">
            <v>4.1039092462069133</v>
          </cell>
          <cell r="BZ11">
            <v>2.3688426495875636</v>
          </cell>
          <cell r="CA11">
            <v>4.0736760163688253</v>
          </cell>
          <cell r="CB11">
            <v>2.4238522409838481</v>
          </cell>
          <cell r="CC11">
            <v>2.4238522409838126</v>
          </cell>
          <cell r="CD11">
            <v>2.4238522409838126</v>
          </cell>
          <cell r="CE11">
            <v>2.4238522409838126</v>
          </cell>
          <cell r="CF11">
            <v>3.3644347235709349</v>
          </cell>
          <cell r="CG11">
            <v>3.3445836486820752</v>
          </cell>
          <cell r="CH11">
            <v>3.3309893613330286</v>
          </cell>
          <cell r="CI11">
            <v>3.3114059445603314</v>
          </cell>
          <cell r="CJ11">
            <v>3.3757623605941869</v>
          </cell>
          <cell r="CK11">
            <v>3.3757623605941647</v>
          </cell>
          <cell r="CL11">
            <v>3.3757623605941731</v>
          </cell>
          <cell r="CM11">
            <v>3.3757623605941682</v>
          </cell>
          <cell r="CN11">
            <v>9.5798247383938513</v>
          </cell>
          <cell r="CO11">
            <v>3.7009935941535481</v>
          </cell>
          <cell r="CP11">
            <v>4.1300218229821954</v>
          </cell>
          <cell r="CQ11">
            <v>2.532435619294291</v>
          </cell>
          <cell r="CR11">
            <v>2.0928071294290245</v>
          </cell>
          <cell r="CS11">
            <v>2.1754340439770141</v>
          </cell>
          <cell r="CT11">
            <v>2.4238522409817485</v>
          </cell>
          <cell r="CU11">
            <v>2.4238522409835435</v>
          </cell>
          <cell r="CV11">
            <v>2.4238522409833956</v>
          </cell>
          <cell r="CW11">
            <v>2.4238522409829395</v>
          </cell>
          <cell r="CX11">
            <v>3.332651707653274</v>
          </cell>
          <cell r="CY11">
            <v>3.3130164360192573</v>
          </cell>
          <cell r="CZ11">
            <v>3.2843611935484156</v>
          </cell>
          <cell r="DA11">
            <v>3.2741211458906134</v>
          </cell>
          <cell r="DB11">
            <v>3.3757623605941784</v>
          </cell>
          <cell r="DC11">
            <v>3.375762360594198</v>
          </cell>
          <cell r="DD11">
            <v>3.3757623605941616</v>
          </cell>
          <cell r="DE11">
            <v>3.375762360594178</v>
          </cell>
          <cell r="DF11">
            <v>38.205728479109297</v>
          </cell>
          <cell r="DG11">
            <v>3.4375805743847301</v>
          </cell>
          <cell r="DH11">
            <v>3.42916438238638</v>
          </cell>
          <cell r="DI11">
            <v>18.579501993455889</v>
          </cell>
          <cell r="DJ11">
            <v>2.1374954380208178</v>
          </cell>
          <cell r="DK11">
            <v>2.1372283457058789</v>
          </cell>
          <cell r="DL11">
            <v>2.423852240982971</v>
          </cell>
          <cell r="DM11">
            <v>2.4238522409821872</v>
          </cell>
          <cell r="DN11">
            <v>2.4238522409827179</v>
          </cell>
          <cell r="DO11">
            <v>2.4238522409831251</v>
          </cell>
          <cell r="DP11">
            <v>3.342361246218029</v>
          </cell>
          <cell r="DQ11">
            <v>3.3260646888686844</v>
          </cell>
          <cell r="DR11">
            <v>3.3001489888808737</v>
          </cell>
          <cell r="DS11">
            <v>3.289891153659696</v>
          </cell>
          <cell r="DT11">
            <v>3.3757623605941784</v>
          </cell>
          <cell r="DU11">
            <v>3.375762360594198</v>
          </cell>
          <cell r="DV11">
            <v>3.3757623605941616</v>
          </cell>
          <cell r="DW11">
            <v>3.375762360594178</v>
          </cell>
          <cell r="DX11">
            <v>2.7875168383311699</v>
          </cell>
          <cell r="DY11">
            <v>4.2052220749072635</v>
          </cell>
          <cell r="DZ11">
            <v>4.1499019823465195</v>
          </cell>
          <cell r="EA11">
            <v>1.2028580029052867</v>
          </cell>
          <cell r="EB11">
            <v>2.3472730300928988</v>
          </cell>
          <cell r="EC11">
            <v>2.3056652927162418</v>
          </cell>
          <cell r="ED11">
            <v>2.4238522409825438</v>
          </cell>
          <cell r="EE11">
            <v>2.4238522409826846</v>
          </cell>
          <cell r="EF11">
            <v>2.4238522409833121</v>
          </cell>
          <cell r="EG11">
            <v>2.4238522409841754</v>
          </cell>
          <cell r="EH11">
            <v>3.3426839194850166</v>
          </cell>
          <cell r="EI11">
            <v>3.3265103618695453</v>
          </cell>
          <cell r="EJ11">
            <v>3.3007225409802219</v>
          </cell>
          <cell r="EK11">
            <v>3.2904838754925376</v>
          </cell>
          <cell r="EL11">
            <v>3.3757623605941784</v>
          </cell>
          <cell r="EM11">
            <v>3.375762360594198</v>
          </cell>
          <cell r="EN11">
            <v>3.3757623605941616</v>
          </cell>
          <cell r="EO11">
            <v>3.375762360594178</v>
          </cell>
          <cell r="EP11">
            <v>7.8906569515470641</v>
          </cell>
          <cell r="EQ11">
            <v>3.4141746829545059</v>
          </cell>
          <cell r="ER11">
            <v>3.7900866078643061</v>
          </cell>
          <cell r="ES11">
            <v>4.2794760166788119</v>
          </cell>
          <cell r="ET11">
            <v>3.4389590157872454</v>
          </cell>
          <cell r="EU11">
            <v>2.1198034372150261</v>
          </cell>
          <cell r="EV11">
            <v>2.4238522409829057</v>
          </cell>
          <cell r="EW11">
            <v>2.4238522409834311</v>
          </cell>
          <cell r="EX11">
            <v>2.4238522409833951</v>
          </cell>
          <cell r="EY11">
            <v>2.4238522409822565</v>
          </cell>
          <cell r="EZ11">
            <v>3.5282958290508062</v>
          </cell>
          <cell r="FA11">
            <v>3.5260394746699344</v>
          </cell>
          <cell r="FB11">
            <v>3.5219784884339087</v>
          </cell>
          <cell r="FC11">
            <v>3.5201269146583378</v>
          </cell>
          <cell r="FD11">
            <v>3.5416676717099818</v>
          </cell>
          <cell r="FE11">
            <v>3.5416676717099858</v>
          </cell>
          <cell r="FF11">
            <v>3.541667671709992</v>
          </cell>
          <cell r="FG11">
            <v>3.5416676717099915</v>
          </cell>
          <cell r="FH11">
            <v>8.0688766123545363</v>
          </cell>
          <cell r="FI11">
            <v>10.293716661105705</v>
          </cell>
          <cell r="FJ11">
            <v>7.7088935902996507</v>
          </cell>
          <cell r="FK11">
            <v>4.2841555913510856</v>
          </cell>
          <cell r="FL11">
            <v>2.6877051325283743</v>
          </cell>
          <cell r="FM11">
            <v>3.4379059264531517</v>
          </cell>
          <cell r="FN11">
            <v>2.4238522409841354</v>
          </cell>
          <cell r="FO11">
            <v>2.4238522409831496</v>
          </cell>
          <cell r="FP11">
            <v>2.4238522409844414</v>
          </cell>
          <cell r="FQ11">
            <v>2.423852240983396</v>
          </cell>
          <cell r="FR11">
            <v>3.4865722488775068</v>
          </cell>
          <cell r="FS11">
            <v>3.4791094431266858</v>
          </cell>
          <cell r="FT11">
            <v>3.466307852596604</v>
          </cell>
          <cell r="FU11">
            <v>3.4607580310347785</v>
          </cell>
          <cell r="FV11">
            <v>3.5009892426026652</v>
          </cell>
          <cell r="FW11">
            <v>3.5009892426026457</v>
          </cell>
          <cell r="FX11">
            <v>3.5009892426026537</v>
          </cell>
          <cell r="FY11">
            <v>3.5009892426026288</v>
          </cell>
          <cell r="FZ11">
            <v>10.852144525291003</v>
          </cell>
          <cell r="GA11">
            <v>15.443328933660945</v>
          </cell>
          <cell r="GB11">
            <v>9.0451581126494229</v>
          </cell>
          <cell r="GC11">
            <v>4.4083846688688242</v>
          </cell>
          <cell r="GD11">
            <v>2.7976463072027387</v>
          </cell>
          <cell r="GE11">
            <v>3.4244492828194599</v>
          </cell>
          <cell r="GF11">
            <v>2.4238522409832792</v>
          </cell>
          <cell r="GG11">
            <v>2.4238522409820145</v>
          </cell>
          <cell r="GH11">
            <v>2.4238522409834089</v>
          </cell>
          <cell r="GI11">
            <v>2.423852240982673</v>
          </cell>
          <cell r="GJ11">
            <v>3.3367884518740549</v>
          </cell>
          <cell r="GK11">
            <v>3.3184881278754799</v>
          </cell>
          <cell r="GL11">
            <v>3.2907399116518636</v>
          </cell>
          <cell r="GM11">
            <v>3.2803584314373988</v>
          </cell>
          <cell r="GN11">
            <v>3.3757623605941784</v>
          </cell>
          <cell r="GO11">
            <v>3.375762360594198</v>
          </cell>
          <cell r="GP11">
            <v>3.3757623605941616</v>
          </cell>
          <cell r="GQ11">
            <v>3.375762360594178</v>
          </cell>
          <cell r="GR11">
            <v>10.883091108277869</v>
          </cell>
          <cell r="GS11">
            <v>16.11430799777072</v>
          </cell>
          <cell r="GT11">
            <v>9.1317869287653153</v>
          </cell>
          <cell r="GU11">
            <v>4.3727443613749424</v>
          </cell>
          <cell r="GV11">
            <v>2.7946513013260859</v>
          </cell>
          <cell r="GW11">
            <v>3.4020168845323679</v>
          </cell>
          <cell r="GX11">
            <v>2.4238522409832792</v>
          </cell>
          <cell r="GY11">
            <v>2.4238522409820145</v>
          </cell>
          <cell r="GZ11">
            <v>2.4238522409834089</v>
          </cell>
          <cell r="HA11">
            <v>2.423852240982673</v>
          </cell>
          <cell r="HB11">
            <v>3.3367884518740549</v>
          </cell>
          <cell r="HC11">
            <v>3.3184881278754799</v>
          </cell>
          <cell r="HD11">
            <v>3.2907399116518636</v>
          </cell>
          <cell r="HE11">
            <v>3.2803584314373988</v>
          </cell>
          <cell r="HF11">
            <v>3.3757623605941784</v>
          </cell>
          <cell r="HG11">
            <v>3.375762360594198</v>
          </cell>
          <cell r="HH11">
            <v>3.3757623605941616</v>
          </cell>
          <cell r="HI11">
            <v>3.375762360594178</v>
          </cell>
        </row>
        <row r="12">
          <cell r="A12" t="str">
            <v>Coeff. of Variability</v>
          </cell>
          <cell r="B12">
            <v>1.9560644364229585</v>
          </cell>
          <cell r="C12">
            <v>3.9284715780783102</v>
          </cell>
          <cell r="D12">
            <v>1.9927777919889946</v>
          </cell>
          <cell r="E12">
            <v>-1.8466161289608773</v>
          </cell>
          <cell r="F12">
            <v>1.0246875835035865</v>
          </cell>
          <cell r="G12">
            <v>0.20831693830619077</v>
          </cell>
          <cell r="H12">
            <v>9.7785932989668777E-3</v>
          </cell>
          <cell r="I12">
            <v>9.7785932989668829E-3</v>
          </cell>
          <cell r="J12">
            <v>9.7785932989669175E-3</v>
          </cell>
          <cell r="K12">
            <v>9.7785932989669037E-3</v>
          </cell>
          <cell r="L12">
            <v>0.1293482755143206</v>
          </cell>
          <cell r="M12">
            <v>0.10033982488639938</v>
          </cell>
          <cell r="N12">
            <v>7.0242063454749079E-2</v>
          </cell>
          <cell r="O12">
            <v>6.1338152640828834E-2</v>
          </cell>
          <cell r="P12">
            <v>0.26206665821840786</v>
          </cell>
          <cell r="Q12">
            <v>0.26206665821840824</v>
          </cell>
          <cell r="R12">
            <v>0.26206665821840774</v>
          </cell>
          <cell r="S12">
            <v>0.26206665821840797</v>
          </cell>
          <cell r="T12">
            <v>4.6033448914562207</v>
          </cell>
          <cell r="U12">
            <v>-18.006913501372772</v>
          </cell>
          <cell r="V12">
            <v>-0.12716787965828413</v>
          </cell>
          <cell r="W12">
            <v>-0.33969866301095486</v>
          </cell>
          <cell r="X12">
            <v>0.20287621591935551</v>
          </cell>
          <cell r="Y12">
            <v>0.2028905349750649</v>
          </cell>
          <cell r="Z12">
            <v>9.7785932989669193E-3</v>
          </cell>
          <cell r="AA12">
            <v>9.7785932989669384E-3</v>
          </cell>
          <cell r="AB12">
            <v>9.7785932989669228E-3</v>
          </cell>
          <cell r="AC12">
            <v>9.7785932989669488E-3</v>
          </cell>
          <cell r="AD12">
            <v>0.20262540701689838</v>
          </cell>
          <cell r="AE12">
            <v>9.8916855082240837E-2</v>
          </cell>
          <cell r="AF12">
            <v>9.7187148326266667E-2</v>
          </cell>
          <cell r="AG12">
            <v>7.1007594261743606E-2</v>
          </cell>
          <cell r="AH12">
            <v>0.26206665821840797</v>
          </cell>
          <cell r="AI12">
            <v>0.26206665821840786</v>
          </cell>
          <cell r="AJ12">
            <v>0.26206665821840819</v>
          </cell>
          <cell r="AK12">
            <v>0.26206665821840808</v>
          </cell>
          <cell r="AL12">
            <v>0.83008616837975335</v>
          </cell>
          <cell r="AM12">
            <v>0.8024296459990462</v>
          </cell>
          <cell r="AN12">
            <v>0.86105989719948706</v>
          </cell>
          <cell r="AO12">
            <v>-1.2228085896336207</v>
          </cell>
          <cell r="AP12">
            <v>1.2622429342954944</v>
          </cell>
          <cell r="AQ12">
            <v>1.2622429342954993</v>
          </cell>
          <cell r="AR12">
            <v>9.7785932989669089E-3</v>
          </cell>
          <cell r="AS12">
            <v>9.7785932989669609E-3</v>
          </cell>
          <cell r="AT12">
            <v>9.7785932989669696E-3</v>
          </cell>
          <cell r="AU12">
            <v>9.7785932989668516E-3</v>
          </cell>
          <cell r="AV12">
            <v>0.11570001664467927</v>
          </cell>
          <cell r="AW12">
            <v>0.13467472419545046</v>
          </cell>
          <cell r="AX12">
            <v>0.11486439836439861</v>
          </cell>
          <cell r="AY12">
            <v>9.7068673628953994E-2</v>
          </cell>
          <cell r="AZ12">
            <v>0.29651889499304196</v>
          </cell>
          <cell r="BA12">
            <v>0.29651829068754598</v>
          </cell>
          <cell r="BB12">
            <v>0.29651889499304185</v>
          </cell>
          <cell r="BC12">
            <v>0.29651829068754521</v>
          </cell>
          <cell r="BD12">
            <v>2.6800722050094374</v>
          </cell>
          <cell r="BE12">
            <v>2.3993573846250591</v>
          </cell>
          <cell r="BF12" t="str">
            <v>---</v>
          </cell>
          <cell r="BG12">
            <v>-0.63999448338087306</v>
          </cell>
          <cell r="BH12">
            <v>-1.3331505866737514</v>
          </cell>
          <cell r="BI12" t="str">
            <v>---</v>
          </cell>
          <cell r="BJ12">
            <v>3.8753280887727143E-2</v>
          </cell>
          <cell r="BK12">
            <v>3.8753280887727448E-2</v>
          </cell>
          <cell r="BL12">
            <v>3.8753280887727434E-2</v>
          </cell>
          <cell r="BM12" t="str">
            <v>---</v>
          </cell>
          <cell r="BN12">
            <v>0.34529910363802618</v>
          </cell>
          <cell r="BO12">
            <v>0.14048941375202251</v>
          </cell>
          <cell r="BP12">
            <v>7.2613407151495321E-2</v>
          </cell>
          <cell r="BQ12" t="str">
            <v>---</v>
          </cell>
          <cell r="BR12">
            <v>0.49308571155197212</v>
          </cell>
          <cell r="BS12">
            <v>0.41368167074385642</v>
          </cell>
          <cell r="BT12">
            <v>0.47816652994705316</v>
          </cell>
          <cell r="BU12" t="str">
            <v>---</v>
          </cell>
          <cell r="BV12">
            <v>2.3277970741717473</v>
          </cell>
          <cell r="BW12">
            <v>2.0679357417284359</v>
          </cell>
          <cell r="BX12">
            <v>0.76942119220555072</v>
          </cell>
          <cell r="BY12">
            <v>-0.55928793044602276</v>
          </cell>
          <cell r="BZ12">
            <v>-0.63475229270238276</v>
          </cell>
          <cell r="CA12">
            <v>-2.2882975573001443</v>
          </cell>
          <cell r="CB12">
            <v>9.778593298966947E-3</v>
          </cell>
          <cell r="CC12">
            <v>9.7785932989669436E-3</v>
          </cell>
          <cell r="CD12">
            <v>9.7785932989669436E-3</v>
          </cell>
          <cell r="CE12">
            <v>9.7785932989669436E-3</v>
          </cell>
          <cell r="CF12">
            <v>0.19751517517596046</v>
          </cell>
          <cell r="CG12">
            <v>0.13430515499017576</v>
          </cell>
          <cell r="CH12">
            <v>0.10796947243800244</v>
          </cell>
          <cell r="CI12">
            <v>8.1658679203384543E-2</v>
          </cell>
          <cell r="CJ12">
            <v>0.26206665821840813</v>
          </cell>
          <cell r="CK12">
            <v>0.26206665821840752</v>
          </cell>
          <cell r="CL12">
            <v>0.26206665821840791</v>
          </cell>
          <cell r="CM12">
            <v>0.26206665821840774</v>
          </cell>
          <cell r="CN12">
            <v>2.1633260203696225</v>
          </cell>
          <cell r="CO12">
            <v>-1.4882807300180796</v>
          </cell>
          <cell r="CP12">
            <v>-2.0604640394995966</v>
          </cell>
          <cell r="CQ12">
            <v>-2.6423835836211933</v>
          </cell>
          <cell r="CR12">
            <v>0.9081579903987621</v>
          </cell>
          <cell r="CS12">
            <v>0.21094009914057268</v>
          </cell>
          <cell r="CT12">
            <v>9.7785932989668378E-3</v>
          </cell>
          <cell r="CU12">
            <v>9.7785932989669696E-3</v>
          </cell>
          <cell r="CV12">
            <v>9.77859329896698E-3</v>
          </cell>
          <cell r="CW12">
            <v>9.7785932989669141E-3</v>
          </cell>
          <cell r="CX12">
            <v>0.11074014328487507</v>
          </cell>
          <cell r="CY12">
            <v>8.3470937693264705E-2</v>
          </cell>
          <cell r="CZ12">
            <v>5.6976072735515693E-2</v>
          </cell>
          <cell r="DA12">
            <v>4.9475004514570022E-2</v>
          </cell>
          <cell r="DB12">
            <v>0.26206665821840786</v>
          </cell>
          <cell r="DC12">
            <v>0.26206665821840824</v>
          </cell>
          <cell r="DD12">
            <v>0.26206665821840774</v>
          </cell>
          <cell r="DE12">
            <v>0.26206665821840797</v>
          </cell>
          <cell r="DF12">
            <v>4.8245041864167488</v>
          </cell>
          <cell r="DG12">
            <v>25.934509244394125</v>
          </cell>
          <cell r="DH12">
            <v>3.736064899236307</v>
          </cell>
          <cell r="DI12">
            <v>-0.50214012728150137</v>
          </cell>
          <cell r="DJ12">
            <v>0.20259944313823325</v>
          </cell>
          <cell r="DK12">
            <v>0.20258714547969597</v>
          </cell>
          <cell r="DL12">
            <v>9.7785932989668777E-3</v>
          </cell>
          <cell r="DM12">
            <v>9.7785932989668829E-3</v>
          </cell>
          <cell r="DN12">
            <v>9.7785932989669175E-3</v>
          </cell>
          <cell r="DO12">
            <v>9.7785932989669037E-3</v>
          </cell>
          <cell r="DP12">
            <v>0.1293482755143206</v>
          </cell>
          <cell r="DQ12">
            <v>0.10033982488639938</v>
          </cell>
          <cell r="DR12">
            <v>7.0242063454749079E-2</v>
          </cell>
          <cell r="DS12">
            <v>6.1338152640828834E-2</v>
          </cell>
          <cell r="DT12">
            <v>0.26206665821840786</v>
          </cell>
          <cell r="DU12">
            <v>0.26206665821840824</v>
          </cell>
          <cell r="DV12">
            <v>0.26206665821840774</v>
          </cell>
          <cell r="DW12">
            <v>0.26206665821840797</v>
          </cell>
          <cell r="DX12">
            <v>1.00980214791792</v>
          </cell>
          <cell r="DY12">
            <v>1.5883178699890572</v>
          </cell>
          <cell r="DZ12">
            <v>1.4211378823580052</v>
          </cell>
          <cell r="EA12">
            <v>4.5703205652819721</v>
          </cell>
          <cell r="EB12">
            <v>0.22931900865338226</v>
          </cell>
          <cell r="EC12">
            <v>0.2208992629123562</v>
          </cell>
          <cell r="ED12">
            <v>9.778593298966843E-3</v>
          </cell>
          <cell r="EE12">
            <v>9.7785932989668655E-3</v>
          </cell>
          <cell r="EF12">
            <v>9.7785932989668933E-3</v>
          </cell>
          <cell r="EG12">
            <v>9.7785932989669679E-3</v>
          </cell>
          <cell r="EH12">
            <v>0.13004955842294039</v>
          </cell>
          <cell r="EI12">
            <v>0.10099725525495325</v>
          </cell>
          <cell r="EJ12">
            <v>7.077731251675376E-2</v>
          </cell>
          <cell r="EK12">
            <v>6.1821858325398306E-2</v>
          </cell>
          <cell r="EL12">
            <v>0.26206665821840786</v>
          </cell>
          <cell r="EM12">
            <v>0.26206665821840824</v>
          </cell>
          <cell r="EN12">
            <v>0.26206665821840774</v>
          </cell>
          <cell r="EO12">
            <v>0.26206665821840797</v>
          </cell>
          <cell r="EP12">
            <v>2.3918241914068705</v>
          </cell>
          <cell r="EQ12">
            <v>0.72696629863554585</v>
          </cell>
          <cell r="ER12">
            <v>0.59466915645665142</v>
          </cell>
          <cell r="ES12">
            <v>-0.95707541110204908</v>
          </cell>
          <cell r="ET12">
            <v>0.85897010875632185</v>
          </cell>
          <cell r="EU12">
            <v>0.21133043142972877</v>
          </cell>
          <cell r="EV12">
            <v>9.7785932989669783E-3</v>
          </cell>
          <cell r="EW12">
            <v>9.7785932989669661E-3</v>
          </cell>
          <cell r="EX12">
            <v>9.7785932989669141E-3</v>
          </cell>
          <cell r="EY12">
            <v>9.7785932989668586E-3</v>
          </cell>
          <cell r="EZ12">
            <v>0.20908942278813472</v>
          </cell>
          <cell r="FA12">
            <v>0.17853807062358107</v>
          </cell>
          <cell r="FB12">
            <v>0.13895208103630663</v>
          </cell>
          <cell r="FC12">
            <v>0.12521749586056616</v>
          </cell>
          <cell r="FD12">
            <v>0.29651829068754559</v>
          </cell>
          <cell r="FE12">
            <v>0.29651829068754582</v>
          </cell>
          <cell r="FF12">
            <v>0.29651829068754643</v>
          </cell>
          <cell r="FG12">
            <v>0.29651829068754598</v>
          </cell>
          <cell r="FH12">
            <v>2.3903146633394181</v>
          </cell>
          <cell r="FI12">
            <v>2.2911055742982542</v>
          </cell>
          <cell r="FJ12">
            <v>0.99228533063024849</v>
          </cell>
          <cell r="FK12">
            <v>-1.3503531697047952</v>
          </cell>
          <cell r="FL12">
            <v>-8.0483706456784176</v>
          </cell>
          <cell r="FM12">
            <v>0.80098359226811178</v>
          </cell>
          <cell r="FN12">
            <v>9.778593298966954E-3</v>
          </cell>
          <cell r="FO12">
            <v>9.7785932989669418E-3</v>
          </cell>
          <cell r="FP12">
            <v>9.7785932989670008E-3</v>
          </cell>
          <cell r="FQ12">
            <v>9.7785932989669106E-3</v>
          </cell>
          <cell r="FR12">
            <v>0.15955844616990336</v>
          </cell>
          <cell r="FS12">
            <v>0.12769686245597406</v>
          </cell>
          <cell r="FT12">
            <v>9.2153420318405274E-2</v>
          </cell>
          <cell r="FU12">
            <v>8.1099047341352162E-2</v>
          </cell>
          <cell r="FV12">
            <v>0.2815322873228418</v>
          </cell>
          <cell r="FW12">
            <v>0.28153228732284136</v>
          </cell>
          <cell r="FX12">
            <v>0.28153228732284175</v>
          </cell>
          <cell r="FY12">
            <v>0.28153228732284102</v>
          </cell>
          <cell r="FZ12">
            <v>2.580145101071234</v>
          </cell>
          <cell r="GA12">
            <v>8.9388481322393663</v>
          </cell>
          <cell r="GB12">
            <v>2.9823726358585563</v>
          </cell>
          <cell r="GC12">
            <v>-1.3632287376136989</v>
          </cell>
          <cell r="GD12">
            <v>-9.2010931487191101</v>
          </cell>
          <cell r="GE12">
            <v>0.78237614117229082</v>
          </cell>
          <cell r="GF12">
            <v>9.7785932989669158E-3</v>
          </cell>
          <cell r="GG12">
            <v>9.7785932989668967E-3</v>
          </cell>
          <cell r="GH12">
            <v>9.7785932989669644E-3</v>
          </cell>
          <cell r="GI12">
            <v>9.7785932989668655E-3</v>
          </cell>
          <cell r="GJ12">
            <v>0.11812331080563987</v>
          </cell>
          <cell r="GK12">
            <v>9.003373560366966E-2</v>
          </cell>
          <cell r="GL12">
            <v>6.2031848451420249E-2</v>
          </cell>
          <cell r="GM12">
            <v>5.3967572693883296E-2</v>
          </cell>
          <cell r="GN12">
            <v>0.26206665821840786</v>
          </cell>
          <cell r="GO12">
            <v>0.26206665821840824</v>
          </cell>
          <cell r="GP12">
            <v>0.26206665821840774</v>
          </cell>
          <cell r="GQ12">
            <v>0.26206665821840797</v>
          </cell>
          <cell r="GR12">
            <v>2.5661776298470791</v>
          </cell>
          <cell r="GS12">
            <v>9.0831483837575</v>
          </cell>
          <cell r="GT12">
            <v>2.8135098258728619</v>
          </cell>
          <cell r="GU12">
            <v>-1.3621655165516109</v>
          </cell>
          <cell r="GV12">
            <v>-9.0347766705014845</v>
          </cell>
          <cell r="GW12">
            <v>0.78620394457336162</v>
          </cell>
          <cell r="GX12">
            <v>9.7785932989669158E-3</v>
          </cell>
          <cell r="GY12">
            <v>9.7785932989668967E-3</v>
          </cell>
          <cell r="GZ12">
            <v>9.7785932989669644E-3</v>
          </cell>
          <cell r="HA12">
            <v>9.7785932989668655E-3</v>
          </cell>
          <cell r="HB12">
            <v>0.11812331080563987</v>
          </cell>
          <cell r="HC12">
            <v>9.003373560366966E-2</v>
          </cell>
          <cell r="HD12">
            <v>6.2031848451420249E-2</v>
          </cell>
          <cell r="HE12">
            <v>5.3967572693883296E-2</v>
          </cell>
          <cell r="HF12">
            <v>0.26206665821840786</v>
          </cell>
          <cell r="HG12">
            <v>0.26206665821840824</v>
          </cell>
          <cell r="HH12">
            <v>0.26206665821840774</v>
          </cell>
          <cell r="HI12">
            <v>0.26206665821840797</v>
          </cell>
        </row>
        <row r="13">
          <cell r="A13" t="str">
            <v>Minimum</v>
          </cell>
          <cell r="B13">
            <v>0</v>
          </cell>
          <cell r="C13">
            <v>-0.69453223775103723</v>
          </cell>
          <cell r="D13">
            <v>-0.54101560841659102</v>
          </cell>
          <cell r="E13">
            <v>-2</v>
          </cell>
          <cell r="F13">
            <v>-2</v>
          </cell>
          <cell r="G13">
            <v>2.1103302613414492</v>
          </cell>
          <cell r="H13">
            <v>8.3219838104056034</v>
          </cell>
          <cell r="I13">
            <v>9.3462323042167199</v>
          </cell>
          <cell r="J13">
            <v>11.082700457958339</v>
          </cell>
          <cell r="K13">
            <v>11.490356323644612</v>
          </cell>
          <cell r="L13">
            <v>12.435602290317037</v>
          </cell>
          <cell r="M13">
            <v>12.317037075178845</v>
          </cell>
          <cell r="N13">
            <v>13.199195356909025</v>
          </cell>
          <cell r="O13">
            <v>13.336157658742177</v>
          </cell>
          <cell r="P13">
            <v>3.9812673383070698</v>
          </cell>
          <cell r="Q13">
            <v>2.8221641891796949</v>
          </cell>
          <cell r="R13">
            <v>1.9402378800610403</v>
          </cell>
          <cell r="S13">
            <v>1.66306104005232</v>
          </cell>
          <cell r="T13">
            <v>0</v>
          </cell>
          <cell r="U13">
            <v>-0.25192999234078428</v>
          </cell>
          <cell r="V13">
            <v>-8.7108543845061348</v>
          </cell>
          <cell r="W13">
            <v>-2</v>
          </cell>
          <cell r="X13">
            <v>4.0528956637936284</v>
          </cell>
          <cell r="Y13">
            <v>9.3934372803480155</v>
          </cell>
          <cell r="Z13">
            <v>18.786161683308691</v>
          </cell>
          <cell r="AA13">
            <v>27.6832382560968</v>
          </cell>
          <cell r="AB13">
            <v>28.055241457746479</v>
          </cell>
          <cell r="AC13">
            <v>37.696324433833944</v>
          </cell>
          <cell r="AD13">
            <v>50.834280114408458</v>
          </cell>
          <cell r="AE13">
            <v>36.287624692093424</v>
          </cell>
          <cell r="AF13">
            <v>36.539554684434208</v>
          </cell>
          <cell r="AG13">
            <v>44.998479076599558</v>
          </cell>
          <cell r="AH13">
            <v>31.74934712827157</v>
          </cell>
          <cell r="AI13">
            <v>8.1641178329841164</v>
          </cell>
          <cell r="AJ13">
            <v>8.0381283602528804</v>
          </cell>
          <cell r="AK13">
            <v>6.7026399493017754</v>
          </cell>
          <cell r="AL13">
            <v>0</v>
          </cell>
          <cell r="AM13">
            <v>-2.181985410451091</v>
          </cell>
          <cell r="AN13">
            <v>-10.676179743658935</v>
          </cell>
          <cell r="AO13">
            <v>-2</v>
          </cell>
          <cell r="AP13">
            <v>0</v>
          </cell>
          <cell r="AQ13">
            <v>0</v>
          </cell>
          <cell r="AR13">
            <v>204.90274020502238</v>
          </cell>
          <cell r="AS13">
            <v>59.772183320299632</v>
          </cell>
          <cell r="AT13">
            <v>65.102639621158687</v>
          </cell>
          <cell r="AU13">
            <v>75.193548762438297</v>
          </cell>
          <cell r="AV13">
            <v>256.41414478419995</v>
          </cell>
          <cell r="AW13">
            <v>79.10308513109743</v>
          </cell>
          <cell r="AX13">
            <v>81.285070541548521</v>
          </cell>
          <cell r="AY13">
            <v>89.779264874756365</v>
          </cell>
          <cell r="AZ13">
            <v>48.252672983222268</v>
          </cell>
          <cell r="BA13">
            <v>18.380297137818822</v>
          </cell>
          <cell r="BB13">
            <v>15.147051752198685</v>
          </cell>
          <cell r="BC13">
            <v>13.389853173057309</v>
          </cell>
          <cell r="BD13">
            <v>0</v>
          </cell>
          <cell r="BE13">
            <v>0</v>
          </cell>
          <cell r="BF13" t="str">
            <v>---</v>
          </cell>
          <cell r="BG13">
            <v>-2</v>
          </cell>
          <cell r="BH13">
            <v>-2</v>
          </cell>
          <cell r="BI13" t="str">
            <v>---</v>
          </cell>
          <cell r="BJ13">
            <v>6.7578245627212086</v>
          </cell>
          <cell r="BK13">
            <v>8.6177762772316324</v>
          </cell>
          <cell r="BL13">
            <v>9.6304166551317536</v>
          </cell>
          <cell r="BM13">
            <v>0</v>
          </cell>
          <cell r="BN13">
            <v>14.640259285423394</v>
          </cell>
          <cell r="BO13">
            <v>10.712463672932774</v>
          </cell>
          <cell r="BP13">
            <v>10.454535350866408</v>
          </cell>
          <cell r="BQ13">
            <v>0</v>
          </cell>
          <cell r="BR13">
            <v>7.2581667571191177</v>
          </cell>
          <cell r="BS13">
            <v>2.0946873957011425</v>
          </cell>
          <cell r="BT13">
            <v>0.77232266529157789</v>
          </cell>
          <cell r="BU13">
            <v>0</v>
          </cell>
          <cell r="BV13">
            <v>0</v>
          </cell>
          <cell r="BW13">
            <v>0</v>
          </cell>
          <cell r="BX13">
            <v>0</v>
          </cell>
          <cell r="BY13">
            <v>-2</v>
          </cell>
          <cell r="BZ13">
            <v>-2</v>
          </cell>
          <cell r="CA13">
            <v>-2</v>
          </cell>
          <cell r="CB13">
            <v>3.0244100941790286</v>
          </cell>
          <cell r="CC13">
            <v>3.4634396930863138</v>
          </cell>
          <cell r="CD13">
            <v>3.4634396930863138</v>
          </cell>
          <cell r="CE13">
            <v>3.4634396930863138</v>
          </cell>
          <cell r="CF13">
            <v>7.6585265059408343</v>
          </cell>
          <cell r="CG13">
            <v>5.3075720478562332</v>
          </cell>
          <cell r="CH13">
            <v>4.7028225787462992</v>
          </cell>
          <cell r="CI13">
            <v>4.2744583714600957</v>
          </cell>
          <cell r="CJ13">
            <v>4.5860168074170042</v>
          </cell>
          <cell r="CK13">
            <v>1.7890505127835565</v>
          </cell>
          <cell r="CL13">
            <v>1.1843010436736221</v>
          </cell>
          <cell r="CM13">
            <v>0.75593683638741838</v>
          </cell>
          <cell r="CN13">
            <v>0</v>
          </cell>
          <cell r="CO13">
            <v>-1.3975734894007008</v>
          </cell>
          <cell r="CP13">
            <v>-1.1833944007773987</v>
          </cell>
          <cell r="CQ13">
            <v>-2</v>
          </cell>
          <cell r="CR13">
            <v>-2</v>
          </cell>
          <cell r="CS13">
            <v>2.824352020840343</v>
          </cell>
          <cell r="CT13">
            <v>11.137693574738885</v>
          </cell>
          <cell r="CU13">
            <v>12.508492428516039</v>
          </cell>
          <cell r="CV13">
            <v>14.83248760073497</v>
          </cell>
          <cell r="CW13">
            <v>15.378072189626081</v>
          </cell>
          <cell r="CX13">
            <v>15.296092531304225</v>
          </cell>
          <cell r="CY13">
            <v>15.529589142725838</v>
          </cell>
          <cell r="CZ13">
            <v>17.00861835339872</v>
          </cell>
          <cell r="DA13">
            <v>17.28570296885843</v>
          </cell>
          <cell r="DB13">
            <v>3.9812673383070698</v>
          </cell>
          <cell r="DC13">
            <v>2.8221641891796949</v>
          </cell>
          <cell r="DD13">
            <v>1.9402378800610403</v>
          </cell>
          <cell r="DE13">
            <v>1.66306104005232</v>
          </cell>
          <cell r="DF13">
            <v>0</v>
          </cell>
          <cell r="DG13">
            <v>-0.88215828173017918</v>
          </cell>
          <cell r="DH13">
            <v>-1.0191205835633319</v>
          </cell>
          <cell r="DI13">
            <v>-2</v>
          </cell>
          <cell r="DJ13">
            <v>2.7809750190128844</v>
          </cell>
          <cell r="DK13">
            <v>2.6195900959427685</v>
          </cell>
          <cell r="DL13">
            <v>8.3219838104056034</v>
          </cell>
          <cell r="DM13">
            <v>9.3462323042167199</v>
          </cell>
          <cell r="DN13">
            <v>11.082700457958339</v>
          </cell>
          <cell r="DO13">
            <v>11.490356323644612</v>
          </cell>
          <cell r="DP13">
            <v>12.435602290317037</v>
          </cell>
          <cell r="DQ13">
            <v>12.317037075178845</v>
          </cell>
          <cell r="DR13">
            <v>13.199195356909025</v>
          </cell>
          <cell r="DS13">
            <v>13.336157658742177</v>
          </cell>
          <cell r="DT13">
            <v>3.9812673383070698</v>
          </cell>
          <cell r="DU13">
            <v>2.8221641891796949</v>
          </cell>
          <cell r="DV13">
            <v>1.9402378800610403</v>
          </cell>
          <cell r="DW13">
            <v>1.66306104005232</v>
          </cell>
          <cell r="DX13">
            <v>0</v>
          </cell>
          <cell r="DY13">
            <v>-0.86310498159618909</v>
          </cell>
          <cell r="DZ13">
            <v>-0.99559430214053002</v>
          </cell>
          <cell r="EA13">
            <v>-2</v>
          </cell>
          <cell r="EB13">
            <v>2.2697890765999142</v>
          </cell>
          <cell r="EC13">
            <v>2.2141782554746214</v>
          </cell>
          <cell r="ED13">
            <v>8.2321007877476209</v>
          </cell>
          <cell r="EE13">
            <v>9.2452867088988953</v>
          </cell>
          <cell r="EF13">
            <v>10.96299983860256</v>
          </cell>
          <cell r="EG13">
            <v>11.366252746743262</v>
          </cell>
          <cell r="EH13">
            <v>12.344289786308133</v>
          </cell>
          <cell r="EI13">
            <v>12.214486061599628</v>
          </cell>
          <cell r="EJ13">
            <v>13.077591043195817</v>
          </cell>
          <cell r="EK13">
            <v>13.210080363740158</v>
          </cell>
          <cell r="EL13">
            <v>3.9812673383070698</v>
          </cell>
          <cell r="EM13">
            <v>2.8221641891796949</v>
          </cell>
          <cell r="EN13">
            <v>1.9402378800610403</v>
          </cell>
          <cell r="EO13">
            <v>1.66306104005232</v>
          </cell>
          <cell r="EP13">
            <v>0</v>
          </cell>
          <cell r="EQ13">
            <v>-9.0720941504283559E-2</v>
          </cell>
          <cell r="ER13">
            <v>4.3805594102111827E-3</v>
          </cell>
          <cell r="ES13">
            <v>-2</v>
          </cell>
          <cell r="ET13">
            <v>-2</v>
          </cell>
          <cell r="EU13">
            <v>1.5799920810920447</v>
          </cell>
          <cell r="EV13">
            <v>6.2306212256364946</v>
          </cell>
          <cell r="EW13">
            <v>6.9974701586861148</v>
          </cell>
          <cell r="EX13">
            <v>8.2975538385914032</v>
          </cell>
          <cell r="EY13">
            <v>8.6027634313238739</v>
          </cell>
          <cell r="EZ13">
            <v>11.882459271213873</v>
          </cell>
          <cell r="FA13">
            <v>11.044881321255446</v>
          </cell>
          <cell r="FB13">
            <v>11.135602262759729</v>
          </cell>
          <cell r="FC13">
            <v>11.059082159502738</v>
          </cell>
          <cell r="FD13">
            <v>5.5527475100867578</v>
          </cell>
          <cell r="FE13">
            <v>3.9361248172766889</v>
          </cell>
          <cell r="FF13">
            <v>2.7060858118777231</v>
          </cell>
          <cell r="FG13">
            <v>2.3195021244666196</v>
          </cell>
          <cell r="FH13">
            <v>0</v>
          </cell>
          <cell r="FI13">
            <v>-0.46794454036839822</v>
          </cell>
          <cell r="FJ13">
            <v>-0.11439541858619506</v>
          </cell>
          <cell r="FK13">
            <v>-2</v>
          </cell>
          <cell r="FL13">
            <v>-2</v>
          </cell>
          <cell r="FM13">
            <v>-2</v>
          </cell>
          <cell r="FN13">
            <v>9.4202884845462336</v>
          </cell>
          <cell r="FO13">
            <v>10.579713510042938</v>
          </cell>
          <cell r="FP13">
            <v>12.545354314585211</v>
          </cell>
          <cell r="FQ13">
            <v>13.006811095164425</v>
          </cell>
          <cell r="FR13">
            <v>14.660583546509354</v>
          </cell>
          <cell r="FS13">
            <v>14.356410310392523</v>
          </cell>
          <cell r="FT13">
            <v>15.22567502243302</v>
          </cell>
          <cell r="FU13">
            <v>15.340070441019215</v>
          </cell>
          <cell r="FV13">
            <v>5.090476705718161</v>
          </cell>
          <cell r="FW13">
            <v>3.6084391838002152</v>
          </cell>
          <cell r="FX13">
            <v>2.4808019388626477</v>
          </cell>
          <cell r="FY13">
            <v>2.1264016618822694</v>
          </cell>
          <cell r="FZ13">
            <v>0</v>
          </cell>
          <cell r="GA13">
            <v>-0.93963022830692466</v>
          </cell>
          <cell r="GB13">
            <v>-0.39323169359385457</v>
          </cell>
          <cell r="GC13">
            <v>-2</v>
          </cell>
          <cell r="GD13">
            <v>-2</v>
          </cell>
          <cell r="GE13">
            <v>-2</v>
          </cell>
          <cell r="GF13">
            <v>9.9107599063924834</v>
          </cell>
          <cell r="GG13">
            <v>11.130550900692835</v>
          </cell>
          <cell r="GH13">
            <v>13.198533649627196</v>
          </cell>
          <cell r="GI13">
            <v>13.684016378420477</v>
          </cell>
          <cell r="GJ13">
            <v>14.049645958898164</v>
          </cell>
          <cell r="GK13">
            <v>14.129733112492353</v>
          </cell>
          <cell r="GL13">
            <v>15.348678330257536</v>
          </cell>
          <cell r="GM13">
            <v>15.564705237833873</v>
          </cell>
          <cell r="GN13">
            <v>3.9812673383070698</v>
          </cell>
          <cell r="GO13">
            <v>2.8221641891796949</v>
          </cell>
          <cell r="GP13">
            <v>1.9402378800610403</v>
          </cell>
          <cell r="GQ13">
            <v>1.66306104005232</v>
          </cell>
          <cell r="GR13">
            <v>0</v>
          </cell>
          <cell r="GS13">
            <v>-1.0328865075791853</v>
          </cell>
          <cell r="GT13">
            <v>-0.40851119868448799</v>
          </cell>
          <cell r="GU13">
            <v>-2</v>
          </cell>
          <cell r="GV13">
            <v>-2</v>
          </cell>
          <cell r="GW13">
            <v>-2</v>
          </cell>
          <cell r="GX13">
            <v>9.9107599063924834</v>
          </cell>
          <cell r="GY13">
            <v>11.130550900692835</v>
          </cell>
          <cell r="GZ13">
            <v>13.198533649627196</v>
          </cell>
          <cell r="HA13">
            <v>13.684016378420477</v>
          </cell>
          <cell r="HB13">
            <v>14.049645958898164</v>
          </cell>
          <cell r="HC13">
            <v>14.129733112492353</v>
          </cell>
          <cell r="HD13">
            <v>15.348678330257536</v>
          </cell>
          <cell r="HE13">
            <v>15.564705237833873</v>
          </cell>
          <cell r="HF13">
            <v>3.9812673383070698</v>
          </cell>
          <cell r="HG13">
            <v>2.8221641891796949</v>
          </cell>
          <cell r="HH13">
            <v>1.9402378800610403</v>
          </cell>
          <cell r="HI13">
            <v>1.66306104005232</v>
          </cell>
        </row>
        <row r="14">
          <cell r="A14" t="str">
            <v>Maximum</v>
          </cell>
          <cell r="B14">
            <v>2.9560673412228482</v>
          </cell>
          <cell r="C14">
            <v>2.2477974592254704</v>
          </cell>
          <cell r="D14">
            <v>2.2249759971976131</v>
          </cell>
          <cell r="E14">
            <v>2.6921416425612033</v>
          </cell>
          <cell r="F14">
            <v>5.9985900400465884</v>
          </cell>
          <cell r="G14">
            <v>5.2506724226908554</v>
          </cell>
          <cell r="H14">
            <v>8.6346430990863574</v>
          </cell>
          <cell r="I14">
            <v>9.6973728988941161</v>
          </cell>
          <cell r="J14">
            <v>11.499080652968383</v>
          </cell>
          <cell r="K14">
            <v>11.922052264983391</v>
          </cell>
          <cell r="L14">
            <v>23.127192504152561</v>
          </cell>
          <cell r="M14">
            <v>19.947634966737343</v>
          </cell>
          <cell r="N14">
            <v>18.51514639951225</v>
          </cell>
          <cell r="O14">
            <v>17.922575188948613</v>
          </cell>
          <cell r="P14">
            <v>14.547925036484985</v>
          </cell>
          <cell r="Q14">
            <v>10.312453190419737</v>
          </cell>
          <cell r="R14">
            <v>7.0898115684135687</v>
          </cell>
          <cell r="S14">
            <v>6.0769813443544871</v>
          </cell>
          <cell r="T14">
            <v>76.278759786385521</v>
          </cell>
          <cell r="U14">
            <v>3.8869023639178883</v>
          </cell>
          <cell r="V14">
            <v>-1.2136798303813894</v>
          </cell>
          <cell r="W14">
            <v>1.1492695049016106</v>
          </cell>
          <cell r="X14">
            <v>8.9955366404564359</v>
          </cell>
          <cell r="Y14">
            <v>20.873263899909546</v>
          </cell>
          <cell r="Z14">
            <v>19.49196309830311</v>
          </cell>
          <cell r="AA14">
            <v>28.723305357730492</v>
          </cell>
          <cell r="AB14">
            <v>29.109284825023625</v>
          </cell>
          <cell r="AC14">
            <v>39.112586019037266</v>
          </cell>
          <cell r="AD14">
            <v>135.3820557720752</v>
          </cell>
          <cell r="AE14">
            <v>58.371551133356419</v>
          </cell>
          <cell r="AF14">
            <v>58.294677865315847</v>
          </cell>
          <cell r="AG14">
            <v>63.353825789130454</v>
          </cell>
          <cell r="AH14">
            <v>116.01509839222203</v>
          </cell>
          <cell r="AI14">
            <v>29.832453872285669</v>
          </cell>
          <cell r="AJ14">
            <v>29.372076497713355</v>
          </cell>
          <cell r="AK14">
            <v>24.492076327246878</v>
          </cell>
          <cell r="AL14">
            <v>308.45343395609831</v>
          </cell>
          <cell r="AM14">
            <v>196.76846806251564</v>
          </cell>
          <cell r="AN14">
            <v>195.70888101488686</v>
          </cell>
          <cell r="AO14">
            <v>0</v>
          </cell>
          <cell r="AP14">
            <v>7.0053036290048203</v>
          </cell>
          <cell r="AQ14">
            <v>13.130609567208898</v>
          </cell>
          <cell r="AR14">
            <v>212.60099418637893</v>
          </cell>
          <cell r="AS14">
            <v>62.017841176116789</v>
          </cell>
          <cell r="AT14">
            <v>67.548564229872738</v>
          </cell>
          <cell r="AU14">
            <v>78.018591685503026</v>
          </cell>
          <cell r="AV14">
            <v>470.04904120051162</v>
          </cell>
          <cell r="AW14">
            <v>160.20598902880607</v>
          </cell>
          <cell r="AX14">
            <v>148.35917560367193</v>
          </cell>
          <cell r="AY14">
            <v>149.33702040332383</v>
          </cell>
          <cell r="AZ14">
            <v>258.81149819077456</v>
          </cell>
          <cell r="BA14">
            <v>98.58588022853246</v>
          </cell>
          <cell r="BB14">
            <v>81.243813343207435</v>
          </cell>
          <cell r="BC14">
            <v>71.818776992487329</v>
          </cell>
          <cell r="BD14">
            <v>41.136260697972325</v>
          </cell>
          <cell r="BE14">
            <v>34.420865173652608</v>
          </cell>
          <cell r="BF14" t="str">
            <v>---</v>
          </cell>
          <cell r="BG14">
            <v>1.1524960805680469</v>
          </cell>
          <cell r="BH14">
            <v>2.8582778140850431</v>
          </cell>
          <cell r="BI14" t="str">
            <v>---</v>
          </cell>
          <cell r="BJ14">
            <v>7.5619749837639976</v>
          </cell>
          <cell r="BK14">
            <v>9.643252502231153</v>
          </cell>
          <cell r="BL14">
            <v>10.776392484507715</v>
          </cell>
          <cell r="BM14">
            <v>0</v>
          </cell>
          <cell r="BN14">
            <v>64.865801609823166</v>
          </cell>
          <cell r="BO14">
            <v>23.35641149796529</v>
          </cell>
          <cell r="BP14">
            <v>16.313018659288907</v>
          </cell>
          <cell r="BQ14">
            <v>0</v>
          </cell>
          <cell r="BR14">
            <v>57.854083664352544</v>
          </cell>
          <cell r="BS14">
            <v>14.414862925300916</v>
          </cell>
          <cell r="BT14">
            <v>6.3207845229301558</v>
          </cell>
          <cell r="BU14">
            <v>0</v>
          </cell>
          <cell r="BV14">
            <v>9.7677750139067925</v>
          </cell>
          <cell r="BW14">
            <v>8.8518984074037057</v>
          </cell>
          <cell r="BX14">
            <v>4.2315175336072102</v>
          </cell>
          <cell r="BY14">
            <v>0.47821283220263494</v>
          </cell>
          <cell r="BZ14">
            <v>0.26737410796040662</v>
          </cell>
          <cell r="CA14">
            <v>7.1527236395558996E-2</v>
          </cell>
          <cell r="CB14">
            <v>3.1380380379804262</v>
          </cell>
          <cell r="CC14">
            <v>3.5935621032591203</v>
          </cell>
          <cell r="CD14">
            <v>3.5935621032591203</v>
          </cell>
          <cell r="CE14">
            <v>3.5935621032591203</v>
          </cell>
          <cell r="CF14">
            <v>19.875649629292148</v>
          </cell>
          <cell r="CG14">
            <v>10.107874615385356</v>
          </cell>
          <cell r="CH14">
            <v>7.8980632174382697</v>
          </cell>
          <cell r="CI14">
            <v>6.3327801438924167</v>
          </cell>
          <cell r="CJ14">
            <v>16.757736434432072</v>
          </cell>
          <cell r="CK14">
            <v>6.5373587189267983</v>
          </cell>
          <cell r="CL14">
            <v>4.3275473209797113</v>
          </cell>
          <cell r="CM14">
            <v>2.7622642474338583</v>
          </cell>
          <cell r="CN14">
            <v>2.8222931763084809</v>
          </cell>
          <cell r="CO14">
            <v>1.7675618704200626</v>
          </cell>
          <cell r="CP14">
            <v>1.7760496657826366</v>
          </cell>
          <cell r="CQ14">
            <v>3.6030169437663844</v>
          </cell>
          <cell r="CR14">
            <v>8.028188863210886</v>
          </cell>
          <cell r="CS14">
            <v>7.0272163269700414</v>
          </cell>
          <cell r="CT14">
            <v>11.556139876721339</v>
          </cell>
          <cell r="CU14">
            <v>12.978440031667867</v>
          </cell>
          <cell r="CV14">
            <v>15.389748360701034</v>
          </cell>
          <cell r="CW14">
            <v>15.955830717115388</v>
          </cell>
          <cell r="CX14">
            <v>26.029953159530603</v>
          </cell>
          <cell r="CY14">
            <v>23.207659983222122</v>
          </cell>
          <cell r="CZ14">
            <v>22.380862504904886</v>
          </cell>
          <cell r="DA14">
            <v>21.930484241937297</v>
          </cell>
          <cell r="DB14">
            <v>14.547925036484985</v>
          </cell>
          <cell r="DC14">
            <v>10.312453190419737</v>
          </cell>
          <cell r="DD14">
            <v>7.0898115684135687</v>
          </cell>
          <cell r="DE14">
            <v>6.0769813443544871</v>
          </cell>
          <cell r="DF14">
            <v>3.1435957177492679</v>
          </cell>
          <cell r="DG14">
            <v>1.5623060990188962</v>
          </cell>
          <cell r="DH14">
            <v>2.1462777440102436</v>
          </cell>
          <cell r="DI14">
            <v>2.6921416425612033</v>
          </cell>
          <cell r="DJ14">
            <v>5.9985900400465884</v>
          </cell>
          <cell r="DK14">
            <v>5.6356300198592475</v>
          </cell>
          <cell r="DL14">
            <v>8.6346430990863574</v>
          </cell>
          <cell r="DM14">
            <v>9.6973728988941161</v>
          </cell>
          <cell r="DN14">
            <v>11.499080652968383</v>
          </cell>
          <cell r="DO14">
            <v>11.922052264983391</v>
          </cell>
          <cell r="DP14">
            <v>23.127192504152561</v>
          </cell>
          <cell r="DQ14">
            <v>19.947634966737343</v>
          </cell>
          <cell r="DR14">
            <v>18.51514639951225</v>
          </cell>
          <cell r="DS14">
            <v>17.922575188948613</v>
          </cell>
          <cell r="DT14">
            <v>14.547925036484985</v>
          </cell>
          <cell r="DU14">
            <v>10.312453190419737</v>
          </cell>
          <cell r="DV14">
            <v>7.0898115684135687</v>
          </cell>
          <cell r="DW14">
            <v>6.0769813443544871</v>
          </cell>
          <cell r="DX14">
            <v>3.1909621221742732</v>
          </cell>
          <cell r="DY14">
            <v>3.366400697608197</v>
          </cell>
          <cell r="DZ14">
            <v>3.9635109881908348</v>
          </cell>
          <cell r="EA14">
            <v>2.6630647020420142</v>
          </cell>
          <cell r="EB14">
            <v>5.9338012328620211</v>
          </cell>
          <cell r="EC14">
            <v>5.5747614250256854</v>
          </cell>
          <cell r="ED14">
            <v>8.5413831458107516</v>
          </cell>
          <cell r="EE14">
            <v>9.5926347489707329</v>
          </cell>
          <cell r="EF14">
            <v>11.374882847442207</v>
          </cell>
          <cell r="EG14">
            <v>11.793286081549667</v>
          </cell>
          <cell r="EH14">
            <v>23.034530644942851</v>
          </cell>
          <cell r="EI14">
            <v>19.843568522768578</v>
          </cell>
          <cell r="EJ14">
            <v>18.391745098464945</v>
          </cell>
          <cell r="EK14">
            <v>17.794634807882307</v>
          </cell>
          <cell r="EL14">
            <v>14.547925036484985</v>
          </cell>
          <cell r="EM14">
            <v>10.312453190419737</v>
          </cell>
          <cell r="EN14">
            <v>7.0898115684135687</v>
          </cell>
          <cell r="EO14">
            <v>6.0769813443544871</v>
          </cell>
          <cell r="EP14">
            <v>7.5862876224713673</v>
          </cell>
          <cell r="EQ14">
            <v>6.5872267759816454</v>
          </cell>
          <cell r="ER14">
            <v>7.1559112110519498</v>
          </cell>
          <cell r="ES14">
            <v>2.0155909026869652</v>
          </cell>
          <cell r="ET14">
            <v>4.4911097256249466</v>
          </cell>
          <cell r="EU14">
            <v>4.0422673647170084</v>
          </cell>
          <cell r="EV14">
            <v>6.4647074296989091</v>
          </cell>
          <cell r="EW14">
            <v>7.2603670943475374</v>
          </cell>
          <cell r="EX14">
            <v>8.6092952863121237</v>
          </cell>
          <cell r="EY14">
            <v>8.9259716898839709</v>
          </cell>
          <cell r="EZ14">
            <v>36.206362882483972</v>
          </cell>
          <cell r="FA14">
            <v>28.325886385594657</v>
          </cell>
          <cell r="FB14">
            <v>23.068638195414067</v>
          </cell>
          <cell r="FC14">
            <v>21.309775694979116</v>
          </cell>
          <cell r="FD14">
            <v>29.783114868275575</v>
          </cell>
          <cell r="FE14">
            <v>21.11208142561307</v>
          </cell>
          <cell r="FF14">
            <v>14.514555980108986</v>
          </cell>
          <cell r="FG14">
            <v>12.441047982950559</v>
          </cell>
          <cell r="FH14">
            <v>5.052504477538978</v>
          </cell>
          <cell r="FI14">
            <v>6.1630336375065369</v>
          </cell>
          <cell r="FJ14">
            <v>2.8746452095905144</v>
          </cell>
          <cell r="FK14">
            <v>3.0474405492685808</v>
          </cell>
          <cell r="FL14">
            <v>6.7902617891551067</v>
          </cell>
          <cell r="FM14">
            <v>5.2305702397906533</v>
          </cell>
          <cell r="FN14">
            <v>9.7742113908925479</v>
          </cell>
          <cell r="FO14">
            <v>10.977196342965557</v>
          </cell>
          <cell r="FP14">
            <v>13.016686829236553</v>
          </cell>
          <cell r="FQ14">
            <v>13.495480671754342</v>
          </cell>
          <cell r="FR14">
            <v>33.309917297425372</v>
          </cell>
          <cell r="FS14">
            <v>27.634769988784313</v>
          </cell>
          <cell r="FT14">
            <v>24.433689415817909</v>
          </cell>
          <cell r="FU14">
            <v>23.266486788295573</v>
          </cell>
          <cell r="FV14">
            <v>23.598389809177121</v>
          </cell>
          <cell r="FW14">
            <v>16.727972522961</v>
          </cell>
          <cell r="FX14">
            <v>11.500481109535688</v>
          </cell>
          <cell r="FY14">
            <v>9.8575552367448758</v>
          </cell>
          <cell r="FZ14">
            <v>2.7737905336225772</v>
          </cell>
          <cell r="GA14">
            <v>2.8215487315088521</v>
          </cell>
          <cell r="GB14">
            <v>1.3133768837385762</v>
          </cell>
          <cell r="GC14">
            <v>3.2061068684204503</v>
          </cell>
          <cell r="GD14">
            <v>7.14379972590711</v>
          </cell>
          <cell r="GE14">
            <v>5.5029021568848453</v>
          </cell>
          <cell r="GF14">
            <v>10.283109962967201</v>
          </cell>
          <cell r="GG14">
            <v>11.548728850388455</v>
          </cell>
          <cell r="GH14">
            <v>13.694406296887285</v>
          </cell>
          <cell r="GI14">
            <v>14.198128749298091</v>
          </cell>
          <cell r="GJ14">
            <v>24.765087432122115</v>
          </cell>
          <cell r="GK14">
            <v>21.787117815473589</v>
          </cell>
          <cell r="GL14">
            <v>20.696392996699654</v>
          </cell>
          <cell r="GM14">
            <v>20.184054755819243</v>
          </cell>
          <cell r="GN14">
            <v>14.547925036484985</v>
          </cell>
          <cell r="GO14">
            <v>10.312453190419737</v>
          </cell>
          <cell r="GP14">
            <v>7.0898115684135687</v>
          </cell>
          <cell r="GQ14">
            <v>6.0769813443544871</v>
          </cell>
          <cell r="GR14">
            <v>2.9251563220320911</v>
          </cell>
          <cell r="GS14">
            <v>3.0396470892432479</v>
          </cell>
          <cell r="GT14">
            <v>1.4152653269581796</v>
          </cell>
          <cell r="GU14">
            <v>3.2061068684204503</v>
          </cell>
          <cell r="GV14">
            <v>7.14379972590711</v>
          </cell>
          <cell r="GW14">
            <v>5.5029021568848453</v>
          </cell>
          <cell r="GX14">
            <v>10.283109962967201</v>
          </cell>
          <cell r="GY14">
            <v>11.548728850388455</v>
          </cell>
          <cell r="GZ14">
            <v>13.694406296887285</v>
          </cell>
          <cell r="HA14">
            <v>14.198128749298091</v>
          </cell>
          <cell r="HB14">
            <v>24.765087432122115</v>
          </cell>
          <cell r="HC14">
            <v>21.787117815473589</v>
          </cell>
          <cell r="HD14">
            <v>20.696392996699654</v>
          </cell>
          <cell r="HE14">
            <v>20.184054755819243</v>
          </cell>
          <cell r="HF14">
            <v>14.547925036484985</v>
          </cell>
          <cell r="HG14">
            <v>10.312453190419737</v>
          </cell>
          <cell r="HH14">
            <v>7.0898115684135687</v>
          </cell>
          <cell r="HI14">
            <v>6.0769813443544871</v>
          </cell>
        </row>
        <row r="15">
          <cell r="A15" t="str">
            <v>Range Width</v>
          </cell>
          <cell r="B15">
            <v>2.9560673412228482</v>
          </cell>
          <cell r="C15">
            <v>2.9423296969765076</v>
          </cell>
          <cell r="D15">
            <v>2.7659916056142042</v>
          </cell>
          <cell r="E15">
            <v>4.6921416425612037</v>
          </cell>
          <cell r="F15">
            <v>7.9985900400465884</v>
          </cell>
          <cell r="G15">
            <v>3.1403421613494062</v>
          </cell>
          <cell r="H15">
            <v>0.31265928868075399</v>
          </cell>
          <cell r="I15">
            <v>0.35114059467739622</v>
          </cell>
          <cell r="J15">
            <v>0.41638019501004386</v>
          </cell>
          <cell r="K15">
            <v>0.43169594133877887</v>
          </cell>
          <cell r="L15">
            <v>10.691590213835523</v>
          </cell>
          <cell r="M15">
            <v>7.630597891558498</v>
          </cell>
          <cell r="N15">
            <v>5.3159510426032259</v>
          </cell>
          <cell r="O15">
            <v>4.5864175302064361</v>
          </cell>
          <cell r="P15">
            <v>10.566657698177915</v>
          </cell>
          <cell r="Q15">
            <v>7.4902890012400416</v>
          </cell>
          <cell r="R15">
            <v>5.1495736883525289</v>
          </cell>
          <cell r="S15">
            <v>4.4139203043021666</v>
          </cell>
          <cell r="T15">
            <v>76.278759786385521</v>
          </cell>
          <cell r="U15">
            <v>4.1388323562586731</v>
          </cell>
          <cell r="V15">
            <v>7.4971745541247454</v>
          </cell>
          <cell r="W15">
            <v>3.1492695049016106</v>
          </cell>
          <cell r="X15">
            <v>4.9426409766628074</v>
          </cell>
          <cell r="Y15">
            <v>11.47982661956153</v>
          </cell>
          <cell r="Z15">
            <v>0.70580141499441851</v>
          </cell>
          <cell r="AA15">
            <v>1.0400671016336922</v>
          </cell>
          <cell r="AB15">
            <v>1.0540433672771456</v>
          </cell>
          <cell r="AC15">
            <v>1.4162615852033227</v>
          </cell>
          <cell r="AD15">
            <v>84.547775657666747</v>
          </cell>
          <cell r="AE15">
            <v>22.083926441262996</v>
          </cell>
          <cell r="AF15">
            <v>21.75512318088164</v>
          </cell>
          <cell r="AG15">
            <v>18.355346712530896</v>
          </cell>
          <cell r="AH15">
            <v>84.265751263950463</v>
          </cell>
          <cell r="AI15">
            <v>21.66833603930155</v>
          </cell>
          <cell r="AJ15">
            <v>21.333948137460474</v>
          </cell>
          <cell r="AK15">
            <v>17.789436377945101</v>
          </cell>
          <cell r="AL15">
            <v>308.45343395609831</v>
          </cell>
          <cell r="AM15">
            <v>198.95045347296673</v>
          </cell>
          <cell r="AN15">
            <v>206.38506075854579</v>
          </cell>
          <cell r="AO15">
            <v>2</v>
          </cell>
          <cell r="AP15">
            <v>7.0053036290048203</v>
          </cell>
          <cell r="AQ15">
            <v>13.130609567208898</v>
          </cell>
          <cell r="AR15">
            <v>7.6982539813565438</v>
          </cell>
          <cell r="AS15">
            <v>2.2456578558171572</v>
          </cell>
          <cell r="AT15">
            <v>2.4459246087140514</v>
          </cell>
          <cell r="AU15">
            <v>2.8250429230647285</v>
          </cell>
          <cell r="AV15">
            <v>213.63489641631168</v>
          </cell>
          <cell r="AW15">
            <v>81.102903897708643</v>
          </cell>
          <cell r="AX15">
            <v>67.074105062123408</v>
          </cell>
          <cell r="AY15">
            <v>59.557755528567469</v>
          </cell>
          <cell r="AZ15">
            <v>210.55882520755227</v>
          </cell>
          <cell r="BA15">
            <v>80.205583090713645</v>
          </cell>
          <cell r="BB15">
            <v>66.096761591008743</v>
          </cell>
          <cell r="BC15">
            <v>58.428923819430018</v>
          </cell>
          <cell r="BD15">
            <v>41.136260697972325</v>
          </cell>
          <cell r="BE15">
            <v>34.420865173652608</v>
          </cell>
          <cell r="BF15" t="str">
            <v>---</v>
          </cell>
          <cell r="BG15">
            <v>3.1524960805680466</v>
          </cell>
          <cell r="BH15">
            <v>4.8582778140850431</v>
          </cell>
          <cell r="BI15" t="str">
            <v>---</v>
          </cell>
          <cell r="BJ15">
            <v>0.804150421042789</v>
          </cell>
          <cell r="BK15">
            <v>1.0254762249995206</v>
          </cell>
          <cell r="BL15">
            <v>1.1459758293759617</v>
          </cell>
          <cell r="BM15">
            <v>0</v>
          </cell>
          <cell r="BN15">
            <v>50.225542324399768</v>
          </cell>
          <cell r="BO15">
            <v>12.643947825032516</v>
          </cell>
          <cell r="BP15">
            <v>5.8584833084224996</v>
          </cell>
          <cell r="BQ15">
            <v>0</v>
          </cell>
          <cell r="BR15">
            <v>50.595916907233423</v>
          </cell>
          <cell r="BS15">
            <v>12.320175529599773</v>
          </cell>
          <cell r="BT15">
            <v>5.5484618576385776</v>
          </cell>
          <cell r="BU15">
            <v>0</v>
          </cell>
          <cell r="BV15">
            <v>9.7677750139067925</v>
          </cell>
          <cell r="BW15">
            <v>8.8518984074037057</v>
          </cell>
          <cell r="BX15">
            <v>4.2315175336072102</v>
          </cell>
          <cell r="BY15">
            <v>2.4782128322026349</v>
          </cell>
          <cell r="BZ15">
            <v>2.2673741079604066</v>
          </cell>
          <cell r="CA15">
            <v>2.0715272363955588</v>
          </cell>
          <cell r="CB15">
            <v>0.11362794380139762</v>
          </cell>
          <cell r="CC15">
            <v>0.13012241017280646</v>
          </cell>
          <cell r="CD15">
            <v>0.13012241017280646</v>
          </cell>
          <cell r="CE15">
            <v>0.13012241017280646</v>
          </cell>
          <cell r="CF15">
            <v>12.217123123351314</v>
          </cell>
          <cell r="CG15">
            <v>4.8003025675291227</v>
          </cell>
          <cell r="CH15">
            <v>3.1952406386919705</v>
          </cell>
          <cell r="CI15">
            <v>2.0583217724323211</v>
          </cell>
          <cell r="CJ15">
            <v>12.171719627015069</v>
          </cell>
          <cell r="CK15">
            <v>4.7483082061432418</v>
          </cell>
          <cell r="CL15">
            <v>3.1432462773060892</v>
          </cell>
          <cell r="CM15">
            <v>2.0063274110464402</v>
          </cell>
          <cell r="CN15">
            <v>2.8222931763084809</v>
          </cell>
          <cell r="CO15">
            <v>3.1651353598207637</v>
          </cell>
          <cell r="CP15">
            <v>2.9594440665600352</v>
          </cell>
          <cell r="CQ15">
            <v>5.6030169437663844</v>
          </cell>
          <cell r="CR15">
            <v>10.028188863210886</v>
          </cell>
          <cell r="CS15">
            <v>4.2028643061296984</v>
          </cell>
          <cell r="CT15">
            <v>0.41844630198245447</v>
          </cell>
          <cell r="CU15">
            <v>0.46994760315182837</v>
          </cell>
          <cell r="CV15">
            <v>0.55726075996606461</v>
          </cell>
          <cell r="CW15">
            <v>0.57775852748930667</v>
          </cell>
          <cell r="CX15">
            <v>10.733860628226378</v>
          </cell>
          <cell r="CY15">
            <v>7.6780708404962841</v>
          </cell>
          <cell r="CZ15">
            <v>5.3722441515061661</v>
          </cell>
          <cell r="DA15">
            <v>4.6447812730788662</v>
          </cell>
          <cell r="DB15">
            <v>10.566657698177915</v>
          </cell>
          <cell r="DC15">
            <v>7.4902890012400416</v>
          </cell>
          <cell r="DD15">
            <v>5.1495736883525289</v>
          </cell>
          <cell r="DE15">
            <v>4.4139203043021666</v>
          </cell>
          <cell r="DF15">
            <v>3.1435957177492679</v>
          </cell>
          <cell r="DG15">
            <v>2.4444643807490753</v>
          </cell>
          <cell r="DH15">
            <v>3.1653983275735755</v>
          </cell>
          <cell r="DI15">
            <v>4.6921416425612037</v>
          </cell>
          <cell r="DJ15">
            <v>3.217615021033704</v>
          </cell>
          <cell r="DK15">
            <v>3.016039923916479</v>
          </cell>
          <cell r="DL15">
            <v>0.31265928868075399</v>
          </cell>
          <cell r="DM15">
            <v>0.35114059467739622</v>
          </cell>
          <cell r="DN15">
            <v>0.41638019501004386</v>
          </cell>
          <cell r="DO15">
            <v>0.43169594133877887</v>
          </cell>
          <cell r="DP15">
            <v>10.691590213835523</v>
          </cell>
          <cell r="DQ15">
            <v>7.630597891558498</v>
          </cell>
          <cell r="DR15">
            <v>5.3159510426032259</v>
          </cell>
          <cell r="DS15">
            <v>4.5864175302064361</v>
          </cell>
          <cell r="DT15">
            <v>10.566657698177915</v>
          </cell>
          <cell r="DU15">
            <v>7.4902890012400416</v>
          </cell>
          <cell r="DV15">
            <v>5.1495736883525289</v>
          </cell>
          <cell r="DW15">
            <v>4.4139203043021666</v>
          </cell>
          <cell r="DX15">
            <v>3.1909621221742732</v>
          </cell>
          <cell r="DY15">
            <v>4.2295056792043866</v>
          </cell>
          <cell r="DZ15">
            <v>4.9591052903313653</v>
          </cell>
          <cell r="EA15">
            <v>4.6630647020420142</v>
          </cell>
          <cell r="EB15">
            <v>3.6640121562621069</v>
          </cell>
          <cell r="EC15">
            <v>3.360583169551064</v>
          </cell>
          <cell r="ED15">
            <v>0.30928235806313076</v>
          </cell>
          <cell r="EE15">
            <v>0.34734804007183762</v>
          </cell>
          <cell r="EF15">
            <v>0.41188300883964679</v>
          </cell>
          <cell r="EG15">
            <v>0.4270333348064046</v>
          </cell>
          <cell r="EH15">
            <v>10.690240858634718</v>
          </cell>
          <cell r="EI15">
            <v>7.6290824611689505</v>
          </cell>
          <cell r="EJ15">
            <v>5.3141540552691282</v>
          </cell>
          <cell r="EK15">
            <v>4.5845544441421495</v>
          </cell>
          <cell r="EL15">
            <v>10.566657698177915</v>
          </cell>
          <cell r="EM15">
            <v>7.4902890012400416</v>
          </cell>
          <cell r="EN15">
            <v>5.1495736883525289</v>
          </cell>
          <cell r="EO15">
            <v>4.4139203043021666</v>
          </cell>
          <cell r="EP15">
            <v>7.5862876224713673</v>
          </cell>
          <cell r="EQ15">
            <v>6.677947717485929</v>
          </cell>
          <cell r="ER15">
            <v>7.151530651641739</v>
          </cell>
          <cell r="ES15">
            <v>4.0155909026869647</v>
          </cell>
          <cell r="ET15">
            <v>6.4911097256249466</v>
          </cell>
          <cell r="EU15">
            <v>2.4622752836249635</v>
          </cell>
          <cell r="EV15">
            <v>0.23408620406241454</v>
          </cell>
          <cell r="EW15">
            <v>0.26289693566142258</v>
          </cell>
          <cell r="EX15">
            <v>0.31174144772072054</v>
          </cell>
          <cell r="EY15">
            <v>0.32320825856009705</v>
          </cell>
          <cell r="EZ15">
            <v>24.323903611270097</v>
          </cell>
          <cell r="FA15">
            <v>17.281005064339212</v>
          </cell>
          <cell r="FB15">
            <v>11.933035932654338</v>
          </cell>
          <cell r="FC15">
            <v>10.250693535476378</v>
          </cell>
          <cell r="FD15">
            <v>24.230367358188818</v>
          </cell>
          <cell r="FE15">
            <v>17.175956608336381</v>
          </cell>
          <cell r="FF15">
            <v>11.808470168231263</v>
          </cell>
          <cell r="FG15">
            <v>10.121545858483939</v>
          </cell>
          <cell r="FH15">
            <v>5.052504477538978</v>
          </cell>
          <cell r="FI15">
            <v>6.630978177874935</v>
          </cell>
          <cell r="FJ15">
            <v>2.9890406281767095</v>
          </cell>
          <cell r="FK15">
            <v>5.0474405492685808</v>
          </cell>
          <cell r="FL15">
            <v>8.7902617891551067</v>
          </cell>
          <cell r="FM15">
            <v>7.2305702397906533</v>
          </cell>
          <cell r="FN15">
            <v>0.35392290634631429</v>
          </cell>
          <cell r="FO15">
            <v>0.39748283292261988</v>
          </cell>
          <cell r="FP15">
            <v>0.47133251465134229</v>
          </cell>
          <cell r="FQ15">
            <v>0.48866957658991694</v>
          </cell>
          <cell r="FR15">
            <v>18.649333750916018</v>
          </cell>
          <cell r="FS15">
            <v>13.278359678391791</v>
          </cell>
          <cell r="FT15">
            <v>9.2080143933848895</v>
          </cell>
          <cell r="FU15">
            <v>7.9264163472763585</v>
          </cell>
          <cell r="FV15">
            <v>18.507913103458961</v>
          </cell>
          <cell r="FW15">
            <v>13.119533339160785</v>
          </cell>
          <cell r="FX15">
            <v>9.0196791706730401</v>
          </cell>
          <cell r="FY15">
            <v>7.7311535748626063</v>
          </cell>
          <cell r="FZ15">
            <v>2.7737905336225772</v>
          </cell>
          <cell r="GA15">
            <v>3.7611789598157768</v>
          </cell>
          <cell r="GB15">
            <v>1.7066085773324309</v>
          </cell>
          <cell r="GC15">
            <v>5.2061068684204503</v>
          </cell>
          <cell r="GD15">
            <v>9.14379972590711</v>
          </cell>
          <cell r="GE15">
            <v>7.5029021568848453</v>
          </cell>
          <cell r="GF15">
            <v>0.37235005657471731</v>
          </cell>
          <cell r="GG15">
            <v>0.41817794969561994</v>
          </cell>
          <cell r="GH15">
            <v>0.49587264726008939</v>
          </cell>
          <cell r="GI15">
            <v>0.51411237087761386</v>
          </cell>
          <cell r="GJ15">
            <v>10.715441473223951</v>
          </cell>
          <cell r="GK15">
            <v>7.6573847029812363</v>
          </cell>
          <cell r="GL15">
            <v>5.3477146664421173</v>
          </cell>
          <cell r="GM15">
            <v>4.6193495179853699</v>
          </cell>
          <cell r="GN15">
            <v>10.566657698177915</v>
          </cell>
          <cell r="GO15">
            <v>7.4902890012400416</v>
          </cell>
          <cell r="GP15">
            <v>5.1495736883525289</v>
          </cell>
          <cell r="GQ15">
            <v>4.4139203043021666</v>
          </cell>
          <cell r="GR15">
            <v>2.9251563220320911</v>
          </cell>
          <cell r="GS15">
            <v>4.0725335968224332</v>
          </cell>
          <cell r="GT15">
            <v>1.8237765256426677</v>
          </cell>
          <cell r="GU15">
            <v>5.2061068684204503</v>
          </cell>
          <cell r="GV15">
            <v>9.14379972590711</v>
          </cell>
          <cell r="GW15">
            <v>7.5029021568848453</v>
          </cell>
          <cell r="GX15">
            <v>0.37235005657471731</v>
          </cell>
          <cell r="GY15">
            <v>0.41817794969561994</v>
          </cell>
          <cell r="GZ15">
            <v>0.49587264726008939</v>
          </cell>
          <cell r="HA15">
            <v>0.51411237087761386</v>
          </cell>
          <cell r="HB15">
            <v>10.715441473223951</v>
          </cell>
          <cell r="HC15">
            <v>7.6573847029812363</v>
          </cell>
          <cell r="HD15">
            <v>5.3477146664421173</v>
          </cell>
          <cell r="HE15">
            <v>4.6193495179853699</v>
          </cell>
          <cell r="HF15">
            <v>10.566657698177915</v>
          </cell>
          <cell r="HG15">
            <v>7.4902890012400416</v>
          </cell>
          <cell r="HH15">
            <v>5.1495736883525289</v>
          </cell>
          <cell r="HI15">
            <v>4.4139203043021666</v>
          </cell>
        </row>
        <row r="16">
          <cell r="A16" t="str">
            <v>Mean Std. Error</v>
          </cell>
          <cell r="B16">
            <v>1.9420513786292393E-2</v>
          </cell>
          <cell r="C16">
            <v>1.5490548554312507E-2</v>
          </cell>
          <cell r="D16">
            <v>1.4916337639776973E-2</v>
          </cell>
          <cell r="E16">
            <v>5.6731740039377435E-2</v>
          </cell>
          <cell r="F16">
            <v>9.2049728394495656E-2</v>
          </cell>
          <cell r="G16">
            <v>2.5484714902806047E-2</v>
          </cell>
          <cell r="H16">
            <v>2.6215510170324581E-3</v>
          </cell>
          <cell r="I16">
            <v>2.9442048147107483E-3</v>
          </cell>
          <cell r="J16">
            <v>3.4912185987070392E-3</v>
          </cell>
          <cell r="K16">
            <v>3.6196363742803024E-3</v>
          </cell>
          <cell r="L16">
            <v>6.7617959897253901E-2</v>
          </cell>
          <cell r="M16">
            <v>4.8324757915869633E-2</v>
          </cell>
          <cell r="N16">
            <v>3.3796059769865806E-2</v>
          </cell>
          <cell r="O16">
            <v>2.9230055256235916E-2</v>
          </cell>
          <cell r="P16">
            <v>6.6740010080273762E-2</v>
          </cell>
          <cell r="Q16">
            <v>4.7309374234118108E-2</v>
          </cell>
          <cell r="R16">
            <v>3.2525194785956203E-2</v>
          </cell>
          <cell r="S16">
            <v>2.7878738387962461E-2</v>
          </cell>
          <cell r="T16">
            <v>0.28655937224852385</v>
          </cell>
          <cell r="U16">
            <v>1.4657030637829171E-2</v>
          </cell>
          <cell r="V16">
            <v>2.8738283304865272E-2</v>
          </cell>
          <cell r="W16">
            <v>1.9934674065036895E-2</v>
          </cell>
          <cell r="X16">
            <v>4.4691497103631066E-2</v>
          </cell>
          <cell r="Y16">
            <v>0.10370384664239071</v>
          </cell>
          <cell r="Z16">
            <v>5.9179256279536189E-3</v>
          </cell>
          <cell r="AA16">
            <v>8.720639580466252E-3</v>
          </cell>
          <cell r="AB16">
            <v>8.8378262265643489E-3</v>
          </cell>
          <cell r="AC16">
            <v>1.1874913471273237E-2</v>
          </cell>
          <cell r="AD16">
            <v>0.53413864406334421</v>
          </cell>
          <cell r="AE16">
            <v>0.13987238358594339</v>
          </cell>
          <cell r="AF16">
            <v>0.1378079572634083</v>
          </cell>
          <cell r="AG16">
            <v>0.11667424536387597</v>
          </cell>
          <cell r="AH16">
            <v>0.53223046013382858</v>
          </cell>
          <cell r="AI16">
            <v>0.13685926117727021</v>
          </cell>
          <cell r="AJ16">
            <v>0.1347472355418185</v>
          </cell>
          <cell r="AK16">
            <v>0.11235976380603049</v>
          </cell>
          <cell r="AL16">
            <v>3.5909003199369929</v>
          </cell>
          <cell r="AM16">
            <v>2.1661782773783855</v>
          </cell>
          <cell r="AN16">
            <v>2.1735546531254699</v>
          </cell>
          <cell r="AO16">
            <v>3.1012219490996428E-2</v>
          </cell>
          <cell r="AP16">
            <v>8.773303823200948E-2</v>
          </cell>
          <cell r="AQ16">
            <v>0.16444515929328554</v>
          </cell>
          <cell r="AR16">
            <v>6.4547468393961735E-2</v>
          </cell>
          <cell r="AS16">
            <v>1.8829143572432101E-2</v>
          </cell>
          <cell r="AT16">
            <v>2.0508318088404098E-2</v>
          </cell>
          <cell r="AU16">
            <v>2.3687107392106638E-2</v>
          </cell>
          <cell r="AV16">
            <v>1.2399210366119049</v>
          </cell>
          <cell r="AW16">
            <v>0.47046269093080034</v>
          </cell>
          <cell r="AX16">
            <v>0.38930532395626422</v>
          </cell>
          <cell r="AY16">
            <v>0.34599674686042931</v>
          </cell>
          <cell r="AZ16">
            <v>1.2204105138830352</v>
          </cell>
          <cell r="BA16">
            <v>0.46469636951172305</v>
          </cell>
          <cell r="BB16">
            <v>0.38310045992978031</v>
          </cell>
          <cell r="BC16">
            <v>0.3385264183249837</v>
          </cell>
          <cell r="BD16">
            <v>0.16168327807882457</v>
          </cell>
          <cell r="BE16">
            <v>0.13413324778801158</v>
          </cell>
          <cell r="BF16" t="str">
            <v>---</v>
          </cell>
          <cell r="BG16">
            <v>3.1906315477980396E-2</v>
          </cell>
          <cell r="BH16">
            <v>4.8693242038751645E-2</v>
          </cell>
          <cell r="BI16" t="str">
            <v>---</v>
          </cell>
          <cell r="BJ16">
            <v>8.7624676497109529E-3</v>
          </cell>
          <cell r="BK16">
            <v>1.1174155993668111E-2</v>
          </cell>
          <cell r="BL16">
            <v>1.2487186314267016E-2</v>
          </cell>
          <cell r="BM16">
            <v>0</v>
          </cell>
          <cell r="BN16">
            <v>0.26922135630963634</v>
          </cell>
          <cell r="BO16">
            <v>6.2384928695756285E-2</v>
          </cell>
          <cell r="BP16">
            <v>2.7839285634164854E-2</v>
          </cell>
          <cell r="BQ16">
            <v>0</v>
          </cell>
          <cell r="BR16">
            <v>0.27322540715466043</v>
          </cell>
          <cell r="BS16">
            <v>6.4416628426387249E-2</v>
          </cell>
          <cell r="BT16">
            <v>2.9249465273213263E-2</v>
          </cell>
          <cell r="BU16">
            <v>0</v>
          </cell>
          <cell r="BV16">
            <v>6.4228680833239585E-2</v>
          </cell>
          <cell r="BW16">
            <v>5.82966757388374E-2</v>
          </cell>
          <cell r="BX16">
            <v>2.3656025541055191E-2</v>
          </cell>
          <cell r="BY16">
            <v>2.8233895637735689E-2</v>
          </cell>
          <cell r="BZ16">
            <v>2.9394910485515454E-2</v>
          </cell>
          <cell r="CA16">
            <v>2.3914569883695429E-2</v>
          </cell>
          <cell r="CB16">
            <v>9.5273501354382515E-4</v>
          </cell>
          <cell r="CC16">
            <v>1.0910359905396754E-3</v>
          </cell>
          <cell r="CD16">
            <v>1.0910359905396754E-3</v>
          </cell>
          <cell r="CE16">
            <v>1.0910359905396754E-3</v>
          </cell>
          <cell r="CF16">
            <v>7.7185475819473451E-2</v>
          </cell>
          <cell r="CG16">
            <v>3.0354760638055315E-2</v>
          </cell>
          <cell r="CH16">
            <v>2.0225879395866373E-2</v>
          </cell>
          <cell r="CI16">
            <v>1.3059559652955513E-2</v>
          </cell>
          <cell r="CJ16">
            <v>7.6877733130441939E-2</v>
          </cell>
          <cell r="CK16">
            <v>2.9990764023414149E-2</v>
          </cell>
          <cell r="CL16">
            <v>1.9853040973245997E-2</v>
          </cell>
          <cell r="CM16">
            <v>1.2672153812710208E-2</v>
          </cell>
          <cell r="CN16">
            <v>1.6189906504768543E-2</v>
          </cell>
          <cell r="CO16">
            <v>1.6646362539518175E-2</v>
          </cell>
          <cell r="CP16">
            <v>1.5419598019058012E-2</v>
          </cell>
          <cell r="CQ16">
            <v>6.6531018384333646E-2</v>
          </cell>
          <cell r="CR16">
            <v>0.11477238707110901</v>
          </cell>
          <cell r="CS16">
            <v>3.456026298475047E-2</v>
          </cell>
          <cell r="CT16">
            <v>3.5085422638943616E-3</v>
          </cell>
          <cell r="CU16">
            <v>3.9403646768114758E-3</v>
          </cell>
          <cell r="CV16">
            <v>4.6724583753946537E-3</v>
          </cell>
          <cell r="CW16">
            <v>4.8443257890390069E-3</v>
          </cell>
          <cell r="CX16">
            <v>6.7935349327002612E-2</v>
          </cell>
          <cell r="CY16">
            <v>4.8703825940048268E-2</v>
          </cell>
          <cell r="CZ16">
            <v>3.4295926323463274E-2</v>
          </cell>
          <cell r="DA16">
            <v>2.9773138674119768E-2</v>
          </cell>
          <cell r="DB16">
            <v>6.6740010080273762E-2</v>
          </cell>
          <cell r="DC16">
            <v>4.7309374234118108E-2</v>
          </cell>
          <cell r="DD16">
            <v>3.2525194785956203E-2</v>
          </cell>
          <cell r="DE16">
            <v>2.7878738387962461E-2</v>
          </cell>
          <cell r="DF16">
            <v>9.9814008749777947E-3</v>
          </cell>
          <cell r="DG16">
            <v>1.4672644241611351E-2</v>
          </cell>
          <cell r="DH16">
            <v>1.92764950341161E-2</v>
          </cell>
          <cell r="DI16">
            <v>2.8467940330818307E-2</v>
          </cell>
          <cell r="DJ16">
            <v>2.9802162979895633E-2</v>
          </cell>
          <cell r="DK16">
            <v>2.8000867185253218E-2</v>
          </cell>
          <cell r="DL16">
            <v>2.6215510170324581E-3</v>
          </cell>
          <cell r="DM16">
            <v>2.9442048147107483E-3</v>
          </cell>
          <cell r="DN16">
            <v>3.4912185987070392E-3</v>
          </cell>
          <cell r="DO16">
            <v>3.6196363742803024E-3</v>
          </cell>
          <cell r="DP16">
            <v>6.7617959897253901E-2</v>
          </cell>
          <cell r="DQ16">
            <v>4.8324757915869633E-2</v>
          </cell>
          <cell r="DR16">
            <v>3.3796059769865806E-2</v>
          </cell>
          <cell r="DS16">
            <v>2.9230055256235916E-2</v>
          </cell>
          <cell r="DT16">
            <v>6.6740010080273762E-2</v>
          </cell>
          <cell r="DU16">
            <v>4.7309374234118108E-2</v>
          </cell>
          <cell r="DV16">
            <v>3.2525194785956203E-2</v>
          </cell>
          <cell r="DW16">
            <v>2.7878738387962461E-2</v>
          </cell>
          <cell r="DX16">
            <v>2.5414078566466221E-2</v>
          </cell>
          <cell r="DY16">
            <v>2.5678213486664096E-2</v>
          </cell>
          <cell r="DZ16">
            <v>2.9705442599419554E-2</v>
          </cell>
          <cell r="EA16">
            <v>6.3781890446589024E-2</v>
          </cell>
          <cell r="EB16">
            <v>2.9633505325604013E-2</v>
          </cell>
          <cell r="EC16">
            <v>2.7382373719723217E-2</v>
          </cell>
          <cell r="ED16">
            <v>2.5932365027494116E-3</v>
          </cell>
          <cell r="EE16">
            <v>2.9124054223904198E-3</v>
          </cell>
          <cell r="EF16">
            <v>3.4535110895889177E-3</v>
          </cell>
          <cell r="EG16">
            <v>3.5805418668100647E-3</v>
          </cell>
          <cell r="EH16">
            <v>6.7607995325238229E-2</v>
          </cell>
          <cell r="EI16">
            <v>4.8312946628707186E-2</v>
          </cell>
          <cell r="EJ16">
            <v>3.3780661540096818E-2</v>
          </cell>
          <cell r="EK16">
            <v>2.9213398303379424E-2</v>
          </cell>
          <cell r="EL16">
            <v>6.6740010080273762E-2</v>
          </cell>
          <cell r="EM16">
            <v>4.7309374234118108E-2</v>
          </cell>
          <cell r="EN16">
            <v>3.2525194785956203E-2</v>
          </cell>
          <cell r="EO16">
            <v>2.7878738387962461E-2</v>
          </cell>
          <cell r="EP16">
            <v>4.7751340177442626E-2</v>
          </cell>
          <cell r="EQ16">
            <v>4.1150182553335864E-2</v>
          </cell>
          <cell r="ER16">
            <v>4.0839336492887943E-2</v>
          </cell>
          <cell r="ES16">
            <v>4.2307945699967812E-2</v>
          </cell>
          <cell r="ET16">
            <v>6.7788684456657811E-2</v>
          </cell>
          <cell r="EU16">
            <v>2.0203680273769412E-2</v>
          </cell>
          <cell r="EV16">
            <v>1.9627401089615244E-3</v>
          </cell>
          <cell r="EW16">
            <v>2.2043091441995835E-3</v>
          </cell>
          <cell r="EX16">
            <v>2.6138552056833068E-3</v>
          </cell>
          <cell r="EY16">
            <v>2.7100008527386932E-3</v>
          </cell>
          <cell r="EZ16">
            <v>0.14099925148248943</v>
          </cell>
          <cell r="FA16">
            <v>0.10018848346198775</v>
          </cell>
          <cell r="FB16">
            <v>6.9215362985945231E-2</v>
          </cell>
          <cell r="FC16">
            <v>5.9476046963603021E-2</v>
          </cell>
          <cell r="FD16">
            <v>0.14038628371482254</v>
          </cell>
          <cell r="FE16">
            <v>9.9514327696583069E-2</v>
          </cell>
          <cell r="FF16">
            <v>6.8416100291400911E-2</v>
          </cell>
          <cell r="FG16">
            <v>5.8642371678343602E-2</v>
          </cell>
          <cell r="FH16">
            <v>2.9536012270714711E-2</v>
          </cell>
          <cell r="FI16">
            <v>3.1690623473802644E-2</v>
          </cell>
          <cell r="FJ16">
            <v>1.3957931587390294E-2</v>
          </cell>
          <cell r="FK16">
            <v>5.3070985724142157E-2</v>
          </cell>
          <cell r="FL16">
            <v>9.1062490190312692E-2</v>
          </cell>
          <cell r="FM16">
            <v>7.4272663689619017E-2</v>
          </cell>
          <cell r="FN16">
            <v>2.9675336338100496E-3</v>
          </cell>
          <cell r="FO16">
            <v>3.3327700875223718E-3</v>
          </cell>
          <cell r="FP16">
            <v>3.9519767295522479E-3</v>
          </cell>
          <cell r="FQ16">
            <v>4.0973426086508427E-3</v>
          </cell>
          <cell r="FR16">
            <v>0.11057421189462587</v>
          </cell>
          <cell r="FS16">
            <v>7.8781913241187232E-2</v>
          </cell>
          <cell r="FT16">
            <v>5.4737234764434602E-2</v>
          </cell>
          <cell r="FU16">
            <v>4.7177427891560625E-2</v>
          </cell>
          <cell r="FV16">
            <v>0.10966495129121762</v>
          </cell>
          <cell r="FW16">
            <v>7.7737180662128938E-2</v>
          </cell>
          <cell r="FX16">
            <v>5.344431170521366E-2</v>
          </cell>
          <cell r="FY16">
            <v>4.5809410033040267E-2</v>
          </cell>
          <cell r="FZ16">
            <v>1.5265234472752102E-2</v>
          </cell>
          <cell r="GA16">
            <v>1.3407128344045749E-2</v>
          </cell>
          <cell r="GB16">
            <v>6.8246510805847144E-3</v>
          </cell>
          <cell r="GC16">
            <v>5.3501832181918431E-2</v>
          </cell>
          <cell r="GD16">
            <v>9.3657732476148406E-2</v>
          </cell>
          <cell r="GE16">
            <v>7.7190870253274133E-2</v>
          </cell>
          <cell r="GF16">
            <v>3.1220395646145171E-3</v>
          </cell>
          <cell r="GG16">
            <v>3.5062922133251421E-3</v>
          </cell>
          <cell r="GH16">
            <v>4.1577381187949108E-3</v>
          </cell>
          <cell r="GI16">
            <v>4.3106725356857681E-3</v>
          </cell>
          <cell r="GJ16">
            <v>6.7795804260197642E-2</v>
          </cell>
          <cell r="GK16">
            <v>4.8536499209866656E-2</v>
          </cell>
          <cell r="GL16">
            <v>3.4073979114554752E-2</v>
          </cell>
          <cell r="GM16">
            <v>2.9531476844198136E-2</v>
          </cell>
          <cell r="GN16">
            <v>6.6740010080273762E-2</v>
          </cell>
          <cell r="GO16">
            <v>4.7309374234118108E-2</v>
          </cell>
          <cell r="GP16">
            <v>3.2525194785956203E-2</v>
          </cell>
          <cell r="GQ16">
            <v>2.7878738387962461E-2</v>
          </cell>
          <cell r="GR16">
            <v>1.5130806105136896E-2</v>
          </cell>
          <cell r="GS16">
            <v>1.3293585791197271E-2</v>
          </cell>
          <cell r="GT16">
            <v>6.8090530236876176E-3</v>
          </cell>
          <cell r="GU16">
            <v>5.3456942785541556E-2</v>
          </cell>
          <cell r="GV16">
            <v>9.3347220065992817E-2</v>
          </cell>
          <cell r="GW16">
            <v>7.6999012225463626E-2</v>
          </cell>
          <cell r="GX16">
            <v>3.1220395646145171E-3</v>
          </cell>
          <cell r="GY16">
            <v>3.5062922133251421E-3</v>
          </cell>
          <cell r="GZ16">
            <v>4.1577381187949108E-3</v>
          </cell>
          <cell r="HA16">
            <v>4.3106725356857681E-3</v>
          </cell>
          <cell r="HB16">
            <v>6.7795804260197642E-2</v>
          </cell>
          <cell r="HC16">
            <v>4.8536499209866656E-2</v>
          </cell>
          <cell r="HD16">
            <v>3.4073979114554752E-2</v>
          </cell>
          <cell r="HE16">
            <v>2.9531476844198136E-2</v>
          </cell>
          <cell r="HF16">
            <v>6.6740010080273762E-2</v>
          </cell>
          <cell r="HG16">
            <v>4.7309374234118108E-2</v>
          </cell>
          <cell r="HH16">
            <v>3.2525194785956203E-2</v>
          </cell>
          <cell r="HI16">
            <v>2.7878738387962461E-2</v>
          </cell>
        </row>
        <row r="17">
          <cell r="A17" t="str">
            <v>Calculated Mean</v>
          </cell>
          <cell r="B17">
            <v>0.31396234066649709</v>
          </cell>
          <cell r="C17">
            <v>0.12469331816069346</v>
          </cell>
          <cell r="D17">
            <v>0.23670276475088273</v>
          </cell>
          <cell r="E17">
            <v>2.1139402751787939</v>
          </cell>
          <cell r="F17">
            <v>4.4543160850543142</v>
          </cell>
          <cell r="G17">
            <v>3.8686121862280061</v>
          </cell>
          <cell r="H17">
            <v>8.477775854559054</v>
          </cell>
          <cell r="I17">
            <v>9.5211988349118002</v>
          </cell>
          <cell r="J17">
            <v>11.290174612970143</v>
          </cell>
          <cell r="K17">
            <v>11.705462017250229</v>
          </cell>
          <cell r="L17">
            <v>16.531087342217706</v>
          </cell>
          <cell r="M17">
            <v>15.229875332492549</v>
          </cell>
          <cell r="N17">
            <v>15.21488970505696</v>
          </cell>
          <cell r="O17">
            <v>15.069503524753225</v>
          </cell>
          <cell r="P17">
            <v>8.0533114876586662</v>
          </cell>
          <cell r="Q17">
            <v>5.7086764975808189</v>
          </cell>
          <cell r="R17">
            <v>3.9247150920868212</v>
          </cell>
          <cell r="S17">
            <v>3.3640415075029861</v>
          </cell>
          <cell r="T17">
            <v>1.9685257623326169</v>
          </cell>
          <cell r="U17">
            <v>-2.5739891818149278E-2</v>
          </cell>
          <cell r="V17">
            <v>-7.1463353427584835</v>
          </cell>
          <cell r="W17">
            <v>0.88535615662918588</v>
          </cell>
          <cell r="X17">
            <v>6.9661651687386863</v>
          </cell>
          <cell r="Y17">
            <v>16.163413317977763</v>
          </cell>
          <cell r="Z17">
            <v>19.137848804687227</v>
          </cell>
          <cell r="AA17">
            <v>28.201483469613123</v>
          </cell>
          <cell r="AB17">
            <v>28.580450772676297</v>
          </cell>
          <cell r="AC17">
            <v>38.402020043728605</v>
          </cell>
          <cell r="AD17">
            <v>83.360459402471534</v>
          </cell>
          <cell r="AE17">
            <v>44.715869051900619</v>
          </cell>
          <cell r="AF17">
            <v>44.839984725607501</v>
          </cell>
          <cell r="AG17">
            <v>51.960126725483192</v>
          </cell>
          <cell r="AH17">
            <v>64.222610597784268</v>
          </cell>
          <cell r="AI17">
            <v>16.514385582287389</v>
          </cell>
          <cell r="AJ17">
            <v>16.259533952931079</v>
          </cell>
          <cell r="AK17">
            <v>13.558106681754452</v>
          </cell>
          <cell r="AL17">
            <v>136.7981336659652</v>
          </cell>
          <cell r="AM17">
            <v>85.366451858432882</v>
          </cell>
          <cell r="AN17">
            <v>79.824682871525084</v>
          </cell>
          <cell r="AO17">
            <v>0</v>
          </cell>
          <cell r="AP17">
            <v>2.197962209347835</v>
          </cell>
          <cell r="AQ17">
            <v>4.1198190889159463</v>
          </cell>
          <cell r="AR17">
            <v>208.73863047787694</v>
          </cell>
          <cell r="AS17">
            <v>60.891150964930056</v>
          </cell>
          <cell r="AT17">
            <v>66.3213962947396</v>
          </cell>
          <cell r="AU17">
            <v>76.601212720424869</v>
          </cell>
          <cell r="AV17">
            <v>338.89144601354394</v>
          </cell>
          <cell r="AW17">
            <v>110.46866190823272</v>
          </cell>
          <cell r="AX17">
            <v>107.17781544686835</v>
          </cell>
          <cell r="AY17">
            <v>112.71790807300225</v>
          </cell>
          <cell r="AZ17">
            <v>130.15281553566746</v>
          </cell>
          <cell r="BA17">
            <v>49.558458760196551</v>
          </cell>
          <cell r="BB17">
            <v>40.856419152128709</v>
          </cell>
          <cell r="BC17">
            <v>36.102816037542894</v>
          </cell>
          <cell r="BD17">
            <v>1.9077374756388641</v>
          </cell>
          <cell r="BE17">
            <v>1.7678340695883537</v>
          </cell>
          <cell r="BF17">
            <v>0</v>
          </cell>
          <cell r="BG17">
            <v>0.80448071582958947</v>
          </cell>
          <cell r="BH17">
            <v>1.5653166950225368</v>
          </cell>
          <cell r="BI17">
            <v>0</v>
          </cell>
          <cell r="BJ17">
            <v>7.1501960767931774</v>
          </cell>
          <cell r="BK17">
            <v>9.1181399511398666</v>
          </cell>
          <cell r="BL17">
            <v>10.189576060506436</v>
          </cell>
          <cell r="BM17">
            <v>0</v>
          </cell>
          <cell r="BN17">
            <v>24.655513777141437</v>
          </cell>
          <cell r="BO17">
            <v>14.042230021260041</v>
          </cell>
          <cell r="BP17">
            <v>12.123870024759347</v>
          </cell>
          <cell r="BQ17">
            <v>0</v>
          </cell>
          <cell r="BR17">
            <v>17.522604711382389</v>
          </cell>
          <cell r="BS17">
            <v>4.9241549583244852</v>
          </cell>
          <cell r="BT17">
            <v>1.9343664772102505</v>
          </cell>
          <cell r="BU17">
            <v>0</v>
          </cell>
          <cell r="BV17">
            <v>0.87253706431135813</v>
          </cell>
          <cell r="BW17">
            <v>0.89147003763724586</v>
          </cell>
          <cell r="BX17">
            <v>0.97224929407541949</v>
          </cell>
          <cell r="BY17">
            <v>0.37425519398074392</v>
          </cell>
          <cell r="BZ17">
            <v>0.1422901613950612</v>
          </cell>
          <cell r="CA17">
            <v>1.1465391401727648E-2</v>
          </cell>
          <cell r="CB17">
            <v>3.0810286891757155</v>
          </cell>
          <cell r="CC17">
            <v>3.5282771599548841</v>
          </cell>
          <cell r="CD17">
            <v>3.5282771599548841</v>
          </cell>
          <cell r="CE17">
            <v>3.5282771599548841</v>
          </cell>
          <cell r="CF17">
            <v>12.357627997744586</v>
          </cell>
          <cell r="CG17">
            <v>7.1471702968141724</v>
          </cell>
          <cell r="CH17">
            <v>5.9238824759039899</v>
          </cell>
          <cell r="CI17">
            <v>5.0573869360926222</v>
          </cell>
          <cell r="CJ17">
            <v>9.2765993085688354</v>
          </cell>
          <cell r="CK17">
            <v>3.6188931368592776</v>
          </cell>
          <cell r="CL17">
            <v>2.3956053159490969</v>
          </cell>
          <cell r="CM17">
            <v>1.5291097761377221</v>
          </cell>
          <cell r="CN17">
            <v>0.23665864126895148</v>
          </cell>
          <cell r="CO17">
            <v>-0.35369953611602978</v>
          </cell>
          <cell r="CP17">
            <v>-0.2366508194740726</v>
          </cell>
          <cell r="CQ17">
            <v>2.8151550070303331</v>
          </cell>
          <cell r="CR17">
            <v>5.9952865687287495</v>
          </cell>
          <cell r="CS17">
            <v>5.1810513037347699</v>
          </cell>
          <cell r="CT17">
            <v>11.346197230681407</v>
          </cell>
          <cell r="CU17">
            <v>12.742658181431759</v>
          </cell>
          <cell r="CV17">
            <v>15.110159801960535</v>
          </cell>
          <cell r="CW17">
            <v>15.665958029846724</v>
          </cell>
          <cell r="CX17">
            <v>19.399508718339987</v>
          </cell>
          <cell r="CY17">
            <v>18.451334679012639</v>
          </cell>
          <cell r="CZ17">
            <v>19.034874894047391</v>
          </cell>
          <cell r="DA17">
            <v>19.029999537349692</v>
          </cell>
          <cell r="DB17">
            <v>8.0533114876586662</v>
          </cell>
          <cell r="DC17">
            <v>5.7086764975808189</v>
          </cell>
          <cell r="DD17">
            <v>3.9247150920868212</v>
          </cell>
          <cell r="DE17">
            <v>3.3640415075029861</v>
          </cell>
          <cell r="DF17">
            <v>6.5424258710345407E-2</v>
          </cell>
          <cell r="DG17">
            <v>1.7890824408360515E-2</v>
          </cell>
          <cell r="DH17">
            <v>0.16315998585889785</v>
          </cell>
          <cell r="DI17">
            <v>2.0628037801489256</v>
          </cell>
          <cell r="DJ17">
            <v>4.6516768632833516</v>
          </cell>
          <cell r="DK17">
            <v>4.3707865351280422</v>
          </cell>
          <cell r="DL17">
            <v>8.477775854559054</v>
          </cell>
          <cell r="DM17">
            <v>9.5211988349118002</v>
          </cell>
          <cell r="DN17">
            <v>11.290174612970143</v>
          </cell>
          <cell r="DO17">
            <v>11.705462017250229</v>
          </cell>
          <cell r="DP17">
            <v>16.531087342217706</v>
          </cell>
          <cell r="DQ17">
            <v>15.229875332492549</v>
          </cell>
          <cell r="DR17">
            <v>15.21488970505696</v>
          </cell>
          <cell r="DS17">
            <v>15.069503524753225</v>
          </cell>
          <cell r="DT17">
            <v>8.0533114876586662</v>
          </cell>
          <cell r="DU17">
            <v>5.7086764975808189</v>
          </cell>
          <cell r="DV17">
            <v>3.9247150920868212</v>
          </cell>
          <cell r="DW17">
            <v>3.3640415075029861</v>
          </cell>
          <cell r="DX17">
            <v>0.79586256644635889</v>
          </cell>
          <cell r="DY17">
            <v>0.51124300995537941</v>
          </cell>
          <cell r="DZ17">
            <v>0.6609974914024177</v>
          </cell>
          <cell r="EA17">
            <v>2.0620916277011339</v>
          </cell>
          <cell r="EB17">
            <v>4.0864197187107507</v>
          </cell>
          <cell r="EC17">
            <v>3.9199165970335579</v>
          </cell>
          <cell r="ED17">
            <v>8.3862101730358987</v>
          </cell>
          <cell r="EE17">
            <v>9.4183634833770231</v>
          </cell>
          <cell r="EF17">
            <v>11.168233133189608</v>
          </cell>
          <cell r="EG17">
            <v>11.579035154174173</v>
          </cell>
          <cell r="EH17">
            <v>16.439521660694552</v>
          </cell>
          <cell r="EI17">
            <v>15.127039980957816</v>
          </cell>
          <cell r="EJ17">
            <v>15.09294822527642</v>
          </cell>
          <cell r="EK17">
            <v>14.943076661677235</v>
          </cell>
          <cell r="EL17">
            <v>8.0533114876586662</v>
          </cell>
          <cell r="EM17">
            <v>5.7086764975808189</v>
          </cell>
          <cell r="EN17">
            <v>3.9247150920868212</v>
          </cell>
          <cell r="EO17">
            <v>3.3640415075029861</v>
          </cell>
          <cell r="EP17">
            <v>0.63132983113364893</v>
          </cell>
          <cell r="EQ17">
            <v>1.7900183714775277</v>
          </cell>
          <cell r="ER17">
            <v>2.1717171648362235</v>
          </cell>
          <cell r="ES17">
            <v>1.5417708633251483</v>
          </cell>
          <cell r="ET17">
            <v>3.4229481387034464</v>
          </cell>
          <cell r="EU17">
            <v>3.0232109190658636</v>
          </cell>
          <cell r="EV17">
            <v>6.3472618295119867</v>
          </cell>
          <cell r="EW17">
            <v>7.1284665899169939</v>
          </cell>
          <cell r="EX17">
            <v>8.4528885404410889</v>
          </cell>
          <cell r="EY17">
            <v>8.7638118220524142</v>
          </cell>
          <cell r="EZ17">
            <v>21.324789036092834</v>
          </cell>
          <cell r="FA17">
            <v>17.745447900911017</v>
          </cell>
          <cell r="FB17">
            <v>15.7520631917495</v>
          </cell>
          <cell r="FC17">
            <v>15.020247237459552</v>
          </cell>
          <cell r="FD17">
            <v>14.971771480135869</v>
          </cell>
          <cell r="FE17">
            <v>10.612901302374787</v>
          </cell>
          <cell r="FF17">
            <v>7.296369645382657</v>
          </cell>
          <cell r="FG17">
            <v>6.2540311246137108</v>
          </cell>
          <cell r="FH17">
            <v>0.39074801826991745</v>
          </cell>
          <cell r="FI17">
            <v>0.43740695222527481</v>
          </cell>
          <cell r="FJ17">
            <v>0.4448201931286051</v>
          </cell>
          <cell r="FK17">
            <v>2.4279272356761665</v>
          </cell>
          <cell r="FL17">
            <v>4.5426583082484706</v>
          </cell>
          <cell r="FM17">
            <v>3.9425055480745339</v>
          </cell>
          <cell r="FN17">
            <v>9.5966413870461196</v>
          </cell>
          <cell r="FO17">
            <v>10.77777147696982</v>
          </cell>
          <cell r="FP17">
            <v>12.780210141972631</v>
          </cell>
          <cell r="FQ17">
            <v>13.250305643411375</v>
          </cell>
          <cell r="FR17">
            <v>21.914625546852164</v>
          </cell>
          <cell r="FS17">
            <v>19.509507083920894</v>
          </cell>
          <cell r="FT17">
            <v>18.783278371751589</v>
          </cell>
          <cell r="FU17">
            <v>18.395792697507577</v>
          </cell>
          <cell r="FV17">
            <v>12.317984159805974</v>
          </cell>
          <cell r="FW17">
            <v>8.7317356069510819</v>
          </cell>
          <cell r="FX17">
            <v>6.0030682297788633</v>
          </cell>
          <cell r="FY17">
            <v>5.1454870540961801</v>
          </cell>
          <cell r="FZ17">
            <v>0.18709377984352146</v>
          </cell>
          <cell r="GA17">
            <v>4.7430118312978664E-2</v>
          </cell>
          <cell r="GB17">
            <v>7.2363330427232919E-2</v>
          </cell>
          <cell r="GC17">
            <v>2.464232855305601</v>
          </cell>
          <cell r="GD17">
            <v>4.7124497042937463</v>
          </cell>
          <cell r="GE17">
            <v>4.1686378713042496</v>
          </cell>
          <cell r="GF17">
            <v>10.096294699550837</v>
          </cell>
          <cell r="GG17">
            <v>11.338920841908688</v>
          </cell>
          <cell r="GH17">
            <v>13.445617347931453</v>
          </cell>
          <cell r="GI17">
            <v>13.940188576347371</v>
          </cell>
          <cell r="GJ17">
            <v>18.149606187209496</v>
          </cell>
          <cell r="GK17">
            <v>17.047597339489446</v>
          </cell>
          <cell r="GL17">
            <v>17.370332440018302</v>
          </cell>
          <cell r="GM17">
            <v>17.304230083850342</v>
          </cell>
          <cell r="GN17">
            <v>8.0533114876586662</v>
          </cell>
          <cell r="GO17">
            <v>5.7086764975808189</v>
          </cell>
          <cell r="GP17">
            <v>3.9247150920868212</v>
          </cell>
          <cell r="GQ17">
            <v>3.3640415075029861</v>
          </cell>
          <cell r="GR17">
            <v>0.18645556554658699</v>
          </cell>
          <cell r="GS17">
            <v>4.6281319642655354E-2</v>
          </cell>
          <cell r="GT17">
            <v>7.6531157153606866E-2</v>
          </cell>
          <cell r="GU17">
            <v>2.4646646267824877</v>
          </cell>
          <cell r="GV17">
            <v>4.6930951835597448</v>
          </cell>
          <cell r="GW17">
            <v>4.1410388624968659</v>
          </cell>
          <cell r="GX17">
            <v>10.096294699550837</v>
          </cell>
          <cell r="GY17">
            <v>11.338920841908688</v>
          </cell>
          <cell r="GZ17">
            <v>13.445617347931453</v>
          </cell>
          <cell r="HA17">
            <v>13.940188576347371</v>
          </cell>
          <cell r="HB17">
            <v>18.149606187209496</v>
          </cell>
          <cell r="HC17">
            <v>17.047597339489446</v>
          </cell>
          <cell r="HD17">
            <v>17.370332440018302</v>
          </cell>
          <cell r="HE17">
            <v>17.304230083850342</v>
          </cell>
          <cell r="HF17">
            <v>8.0533114876586662</v>
          </cell>
          <cell r="HG17">
            <v>5.7086764975808189</v>
          </cell>
          <cell r="HH17">
            <v>3.9247150920868212</v>
          </cell>
          <cell r="HI17">
            <v>3.3640415075029861</v>
          </cell>
        </row>
        <row r="18">
          <cell r="A18" t="str">
            <v>Calculated Median</v>
          </cell>
          <cell r="B18">
            <v>0</v>
          </cell>
          <cell r="C18">
            <v>0</v>
          </cell>
          <cell r="D18">
            <v>0.1127617997018433</v>
          </cell>
          <cell r="E18">
            <v>2.2497748389414758</v>
          </cell>
          <cell r="F18">
            <v>4.5950260522188691</v>
          </cell>
          <cell r="G18">
            <v>3.8961127396650892</v>
          </cell>
          <cell r="H18">
            <v>8.4543349520099671</v>
          </cell>
          <cell r="I18">
            <v>9.4948728859991505</v>
          </cell>
          <cell r="J18">
            <v>11.258957476847984</v>
          </cell>
          <cell r="K18">
            <v>11.673096618689858</v>
          </cell>
          <cell r="L18">
            <v>15.884887894279474</v>
          </cell>
          <cell r="M18">
            <v>14.763059411832629</v>
          </cell>
          <cell r="N18">
            <v>14.869820729303761</v>
          </cell>
          <cell r="O18">
            <v>14.763961118068231</v>
          </cell>
          <cell r="P18">
            <v>7.4388762199542748</v>
          </cell>
          <cell r="Q18">
            <v>5.2731274470561935</v>
          </cell>
          <cell r="R18">
            <v>3.6252751198511342</v>
          </cell>
          <cell r="S18">
            <v>3.1073786741581144</v>
          </cell>
          <cell r="T18">
            <v>0</v>
          </cell>
          <cell r="U18">
            <v>-0.1380708726855211</v>
          </cell>
          <cell r="V18">
            <v>-7.3788683464586065</v>
          </cell>
          <cell r="W18">
            <v>0.96042406328610863</v>
          </cell>
          <cell r="X18">
            <v>7.5174098110311496</v>
          </cell>
          <cell r="Y18">
            <v>17.44341500691835</v>
          </cell>
          <cell r="Z18">
            <v>19.084932986136888</v>
          </cell>
          <cell r="AA18">
            <v>28.123506859109309</v>
          </cell>
          <cell r="AB18">
            <v>28.501426324181331</v>
          </cell>
          <cell r="AC18">
            <v>38.295839127297782</v>
          </cell>
          <cell r="AD18">
            <v>78.39823566685449</v>
          </cell>
          <cell r="AE18">
            <v>43.359416949246778</v>
          </cell>
          <cell r="AF18">
            <v>43.495210517949218</v>
          </cell>
          <cell r="AG18">
            <v>50.776218299739668</v>
          </cell>
          <cell r="AH18">
            <v>59.322683779382189</v>
          </cell>
          <cell r="AI18">
            <v>15.254404400412561</v>
          </cell>
          <cell r="AJ18">
            <v>15.018996925097554</v>
          </cell>
          <cell r="AK18">
            <v>12.523677686758463</v>
          </cell>
          <cell r="AL18">
            <v>206.86654722924027</v>
          </cell>
          <cell r="AM18">
            <v>125.13562049903082</v>
          </cell>
          <cell r="AN18">
            <v>118.35589627966115</v>
          </cell>
          <cell r="AO18">
            <v>0</v>
          </cell>
          <cell r="AP18">
            <v>5.8542075181031832</v>
          </cell>
          <cell r="AQ18">
            <v>10.973016633763253</v>
          </cell>
          <cell r="AR18">
            <v>208.16147180097767</v>
          </cell>
          <cell r="AS18">
            <v>60.722787993278608</v>
          </cell>
          <cell r="AT18">
            <v>66.138018789349829</v>
          </cell>
          <cell r="AU18">
            <v>76.389411701699061</v>
          </cell>
          <cell r="AV18">
            <v>330.96405249584177</v>
          </cell>
          <cell r="AW18">
            <v>107.56921383751282</v>
          </cell>
          <cell r="AX18">
            <v>104.67798002373311</v>
          </cell>
          <cell r="AY18">
            <v>110.45467872244312</v>
          </cell>
          <cell r="AZ18">
            <v>123.28221990737696</v>
          </cell>
          <cell r="BA18">
            <v>46.936795405871038</v>
          </cell>
          <cell r="BB18">
            <v>38.699662622053495</v>
          </cell>
          <cell r="BC18">
            <v>34.192961853990184</v>
          </cell>
          <cell r="BD18">
            <v>0</v>
          </cell>
          <cell r="BE18">
            <v>0</v>
          </cell>
          <cell r="BF18">
            <v>0</v>
          </cell>
          <cell r="BG18">
            <v>0.84892289639023022</v>
          </cell>
          <cell r="BH18">
            <v>1.6093529033390344</v>
          </cell>
          <cell r="BI18">
            <v>0</v>
          </cell>
          <cell r="BJ18">
            <v>7.0117179454706244</v>
          </cell>
          <cell r="BK18">
            <v>8.9415485726643738</v>
          </cell>
          <cell r="BL18">
            <v>9.9922341363587499</v>
          </cell>
          <cell r="BM18">
            <v>0</v>
          </cell>
          <cell r="BN18">
            <v>22.056231079103487</v>
          </cell>
          <cell r="BO18">
            <v>13.472607420440809</v>
          </cell>
          <cell r="BP18">
            <v>11.957116063182337</v>
          </cell>
          <cell r="BQ18">
            <v>0</v>
          </cell>
          <cell r="BR18">
            <v>14.781198312171174</v>
          </cell>
          <cell r="BS18">
            <v>4.2934126465641285</v>
          </cell>
          <cell r="BT18">
            <v>1.6301529444497782</v>
          </cell>
          <cell r="BU18">
            <v>0</v>
          </cell>
          <cell r="BV18">
            <v>0</v>
          </cell>
          <cell r="BW18">
            <v>0</v>
          </cell>
          <cell r="BX18">
            <v>0.82478998225880673</v>
          </cell>
          <cell r="BY18">
            <v>0.39963394961822479</v>
          </cell>
          <cell r="BZ18">
            <v>0.22343978160876751</v>
          </cell>
          <cell r="CA18">
            <v>5.9774037962079127E-2</v>
          </cell>
          <cell r="CB18">
            <v>3.07250969852383</v>
          </cell>
          <cell r="CC18">
            <v>3.5185215350726771</v>
          </cell>
          <cell r="CD18">
            <v>3.5185215350726771</v>
          </cell>
          <cell r="CE18">
            <v>3.5185215350726771</v>
          </cell>
          <cell r="CF18">
            <v>11.639551968325403</v>
          </cell>
          <cell r="CG18">
            <v>6.8564720165772508</v>
          </cell>
          <cell r="CH18">
            <v>5.72949418028605</v>
          </cell>
          <cell r="CI18">
            <v>4.9289146024303152</v>
          </cell>
          <cell r="CJ18">
            <v>8.5688321014663167</v>
          </cell>
          <cell r="CK18">
            <v>3.342786149473123</v>
          </cell>
          <cell r="CL18">
            <v>2.2128302679610821</v>
          </cell>
          <cell r="CM18">
            <v>1.4124448518900521</v>
          </cell>
          <cell r="CN18">
            <v>0</v>
          </cell>
          <cell r="CO18">
            <v>-0.39042979668521838</v>
          </cell>
          <cell r="CP18">
            <v>-0.25146587481261246</v>
          </cell>
          <cell r="CQ18">
            <v>3.010977110644776</v>
          </cell>
          <cell r="CR18">
            <v>6.252292862676021</v>
          </cell>
          <cell r="CS18">
            <v>5.2143468210990198</v>
          </cell>
          <cell r="CT18">
            <v>11.314825192997155</v>
          </cell>
          <cell r="CU18">
            <v>12.707424953546143</v>
          </cell>
          <cell r="CV18">
            <v>15.068380473337681</v>
          </cell>
          <cell r="CW18">
            <v>15.622641928806109</v>
          </cell>
          <cell r="CX18">
            <v>18.745123664985243</v>
          </cell>
          <cell r="CY18">
            <v>17.972463076101054</v>
          </cell>
          <cell r="CZ18">
            <v>18.67274716675896</v>
          </cell>
          <cell r="DA18">
            <v>18.709036604981257</v>
          </cell>
          <cell r="DB18">
            <v>7.4388762199542748</v>
          </cell>
          <cell r="DC18">
            <v>5.2731274470561935</v>
          </cell>
          <cell r="DD18">
            <v>3.6252751198511342</v>
          </cell>
          <cell r="DE18">
            <v>3.1073786741581144</v>
          </cell>
          <cell r="DF18">
            <v>0</v>
          </cell>
          <cell r="DG18">
            <v>-0.10461862861568529</v>
          </cell>
          <cell r="DH18">
            <v>3.5288976590663879E-4</v>
          </cell>
          <cell r="DI18">
            <v>2.2497748389414758</v>
          </cell>
          <cell r="DJ18">
            <v>5.0129148956600389</v>
          </cell>
          <cell r="DK18">
            <v>4.7095956690452354</v>
          </cell>
          <cell r="DL18">
            <v>8.4543349520099671</v>
          </cell>
          <cell r="DM18">
            <v>9.4948728859991505</v>
          </cell>
          <cell r="DN18">
            <v>11.258957476847984</v>
          </cell>
          <cell r="DO18">
            <v>11.673096618689858</v>
          </cell>
          <cell r="DP18">
            <v>15.884887894279474</v>
          </cell>
          <cell r="DQ18">
            <v>14.763059411832629</v>
          </cell>
          <cell r="DR18">
            <v>14.869820729303761</v>
          </cell>
          <cell r="DS18">
            <v>14.763961118068231</v>
          </cell>
          <cell r="DT18">
            <v>7.4388762199542748</v>
          </cell>
          <cell r="DU18">
            <v>5.2731274470561935</v>
          </cell>
          <cell r="DV18">
            <v>3.6252751198511342</v>
          </cell>
          <cell r="DW18">
            <v>3.1073786741581144</v>
          </cell>
          <cell r="DX18">
            <v>0.79128919628330241</v>
          </cell>
          <cell r="DY18">
            <v>0.33787179218592056</v>
          </cell>
          <cell r="DZ18">
            <v>0.46495525006411675</v>
          </cell>
          <cell r="EA18">
            <v>2.2254757574446944</v>
          </cell>
          <cell r="EB18">
            <v>4.1217690560324325</v>
          </cell>
          <cell r="EC18">
            <v>4.0207839186653338</v>
          </cell>
          <cell r="ED18">
            <v>8.3630224480010629</v>
          </cell>
          <cell r="EE18">
            <v>9.3923218724199327</v>
          </cell>
          <cell r="EF18">
            <v>11.137353163134776</v>
          </cell>
          <cell r="EG18">
            <v>11.547019323687838</v>
          </cell>
          <cell r="EH18">
            <v>15.792999713000878</v>
          </cell>
          <cell r="EI18">
            <v>14.660555895238549</v>
          </cell>
          <cell r="EJ18">
            <v>14.749284905048953</v>
          </cell>
          <cell r="EK18">
            <v>14.63820043067331</v>
          </cell>
          <cell r="EL18">
            <v>7.4388762199542748</v>
          </cell>
          <cell r="EM18">
            <v>5.2731274470561935</v>
          </cell>
          <cell r="EN18">
            <v>3.6252751198511342</v>
          </cell>
          <cell r="EO18">
            <v>3.1073786741581144</v>
          </cell>
          <cell r="EP18">
            <v>0</v>
          </cell>
          <cell r="EQ18">
            <v>1.7306346083305728</v>
          </cell>
          <cell r="ER18">
            <v>2.0114956794078109</v>
          </cell>
          <cell r="ES18">
            <v>1.6843934311533444</v>
          </cell>
          <cell r="ET18">
            <v>3.6547400226176783</v>
          </cell>
          <cell r="EU18">
            <v>3.1433395817108267</v>
          </cell>
          <cell r="EV18">
            <v>6.3297117611271156</v>
          </cell>
          <cell r="EW18">
            <v>7.1087565039787561</v>
          </cell>
          <cell r="EX18">
            <v>8.4295164508820069</v>
          </cell>
          <cell r="EY18">
            <v>8.7395800350361181</v>
          </cell>
          <cell r="EZ18">
            <v>20.504083225642937</v>
          </cell>
          <cell r="FA18">
            <v>17.146598153304353</v>
          </cell>
          <cell r="FB18">
            <v>15.32954450066458</v>
          </cell>
          <cell r="FC18">
            <v>14.64743896457383</v>
          </cell>
          <cell r="FD18">
            <v>14.179758459135034</v>
          </cell>
          <cell r="FE18">
            <v>10.051474350779264</v>
          </cell>
          <cell r="FF18">
            <v>6.9103886161607448</v>
          </cell>
          <cell r="FG18">
            <v>5.9231902424234955</v>
          </cell>
          <cell r="FH18">
            <v>0</v>
          </cell>
          <cell r="FI18">
            <v>0</v>
          </cell>
          <cell r="FJ18">
            <v>0.34279826842798244</v>
          </cell>
          <cell r="FK18">
            <v>2.5466918094219766</v>
          </cell>
          <cell r="FL18">
            <v>4.6474907968131731</v>
          </cell>
          <cell r="FM18">
            <v>4.2386728666332409</v>
          </cell>
          <cell r="FN18">
            <v>9.570106840791194</v>
          </cell>
          <cell r="FO18">
            <v>10.747971126592308</v>
          </cell>
          <cell r="FP18">
            <v>12.744873083570372</v>
          </cell>
          <cell r="FQ18">
            <v>13.213668779136945</v>
          </cell>
          <cell r="FR18">
            <v>21.135511413716735</v>
          </cell>
          <cell r="FS18">
            <v>18.942456083597754</v>
          </cell>
          <cell r="FT18">
            <v>18.380257740788867</v>
          </cell>
          <cell r="FU18">
            <v>18.036537967046598</v>
          </cell>
          <cell r="FV18">
            <v>11.588327751621033</v>
          </cell>
          <cell r="FW18">
            <v>8.2145108112756695</v>
          </cell>
          <cell r="FX18">
            <v>5.6474761827520226</v>
          </cell>
          <cell r="FY18">
            <v>4.8406938709303038</v>
          </cell>
          <cell r="FZ18">
            <v>0</v>
          </cell>
          <cell r="GA18">
            <v>0</v>
          </cell>
          <cell r="GB18">
            <v>4.397193472485128E-4</v>
          </cell>
          <cell r="GC18">
            <v>2.6792864273915287</v>
          </cell>
          <cell r="GD18">
            <v>4.8323020952202063</v>
          </cell>
          <cell r="GE18">
            <v>4.4593612150897908</v>
          </cell>
          <cell r="GF18">
            <v>10.068378620591094</v>
          </cell>
          <cell r="GG18">
            <v>11.307568923312658</v>
          </cell>
          <cell r="GH18">
            <v>13.408440450196496</v>
          </cell>
          <cell r="GI18">
            <v>13.901644197781554</v>
          </cell>
          <cell r="GJ18">
            <v>17.499316437270217</v>
          </cell>
          <cell r="GK18">
            <v>16.571605904734728</v>
          </cell>
          <cell r="GL18">
            <v>17.014976821253669</v>
          </cell>
          <cell r="GM18">
            <v>16.990636160156072</v>
          </cell>
          <cell r="GN18">
            <v>7.4388762199542748</v>
          </cell>
          <cell r="GO18">
            <v>5.2731274470561935</v>
          </cell>
          <cell r="GP18">
            <v>3.6252751198511342</v>
          </cell>
          <cell r="GQ18">
            <v>3.1073786741581144</v>
          </cell>
          <cell r="GR18">
            <v>0</v>
          </cell>
          <cell r="GS18">
            <v>0</v>
          </cell>
          <cell r="GT18">
            <v>4.2128106217180772E-3</v>
          </cell>
          <cell r="GU18">
            <v>2.6792864273915287</v>
          </cell>
          <cell r="GV18">
            <v>4.809261089358488</v>
          </cell>
          <cell r="GW18">
            <v>4.4593612150897908</v>
          </cell>
          <cell r="GX18">
            <v>10.068378620591094</v>
          </cell>
          <cell r="GY18">
            <v>11.307568923312658</v>
          </cell>
          <cell r="GZ18">
            <v>13.408440450196496</v>
          </cell>
          <cell r="HA18">
            <v>13.901644197781554</v>
          </cell>
          <cell r="HB18">
            <v>17.499316437270217</v>
          </cell>
          <cell r="HC18">
            <v>16.571605904734728</v>
          </cell>
          <cell r="HD18">
            <v>17.014976821253669</v>
          </cell>
          <cell r="HE18">
            <v>16.990636160156072</v>
          </cell>
          <cell r="HF18">
            <v>7.4388762199542748</v>
          </cell>
          <cell r="HG18">
            <v>5.2731274470561935</v>
          </cell>
          <cell r="HH18">
            <v>3.6252751198511342</v>
          </cell>
          <cell r="HI18">
            <v>3.1073786741581144</v>
          </cell>
        </row>
        <row r="19">
          <cell r="A19" t="str">
            <v>Net Benefit</v>
          </cell>
          <cell r="B19">
            <v>25</v>
          </cell>
          <cell r="C19">
            <v>39.1</v>
          </cell>
          <cell r="D19">
            <v>68.8</v>
          </cell>
          <cell r="T19">
            <v>5</v>
          </cell>
          <cell r="U19">
            <v>11.4</v>
          </cell>
          <cell r="V19">
            <v>0</v>
          </cell>
          <cell r="AL19">
            <v>59.9</v>
          </cell>
          <cell r="AM19">
            <v>97.5</v>
          </cell>
          <cell r="AN19">
            <v>69.599999999999994</v>
          </cell>
          <cell r="BD19">
            <v>15.1</v>
          </cell>
          <cell r="BE19">
            <v>23.7</v>
          </cell>
          <cell r="BF19">
            <v>0</v>
          </cell>
          <cell r="BV19">
            <v>17</v>
          </cell>
          <cell r="BW19">
            <v>25</v>
          </cell>
          <cell r="BX19">
            <v>83</v>
          </cell>
          <cell r="CN19">
            <v>25</v>
          </cell>
          <cell r="CO19">
            <v>13.3</v>
          </cell>
          <cell r="CP19">
            <v>26.2</v>
          </cell>
          <cell r="DF19">
            <v>5.0999999999999996</v>
          </cell>
          <cell r="DG19">
            <v>38.6</v>
          </cell>
          <cell r="DH19">
            <v>50</v>
          </cell>
          <cell r="DX19">
            <v>60.1</v>
          </cell>
          <cell r="DY19">
            <v>68.400000000000006</v>
          </cell>
          <cell r="DZ19">
            <v>73</v>
          </cell>
          <cell r="EP19">
            <v>17</v>
          </cell>
          <cell r="EQ19">
            <v>82.8</v>
          </cell>
          <cell r="ER19">
            <v>100</v>
          </cell>
          <cell r="FH19">
            <v>17.100000000000001</v>
          </cell>
          <cell r="FI19">
            <v>23.6</v>
          </cell>
          <cell r="FJ19">
            <v>82.1</v>
          </cell>
          <cell r="FZ19">
            <v>17</v>
          </cell>
          <cell r="GA19">
            <v>12</v>
          </cell>
          <cell r="GB19">
            <v>50.2</v>
          </cell>
          <cell r="GR19">
            <v>17</v>
          </cell>
          <cell r="GS19">
            <v>12.6</v>
          </cell>
          <cell r="GT19">
            <v>51.4</v>
          </cell>
        </row>
        <row r="20">
          <cell r="A20" t="str">
            <v>No Net Change</v>
          </cell>
          <cell r="B20">
            <v>75</v>
          </cell>
          <cell r="C20">
            <v>25</v>
          </cell>
          <cell r="D20">
            <v>0</v>
          </cell>
          <cell r="T20">
            <v>95</v>
          </cell>
          <cell r="U20">
            <v>0</v>
          </cell>
          <cell r="V20">
            <v>0</v>
          </cell>
          <cell r="AL20">
            <v>40.1</v>
          </cell>
          <cell r="AM20">
            <v>0</v>
          </cell>
          <cell r="AN20">
            <v>0</v>
          </cell>
          <cell r="BD20">
            <v>84.9</v>
          </cell>
          <cell r="BE20">
            <v>76.3</v>
          </cell>
          <cell r="BF20">
            <v>0</v>
          </cell>
          <cell r="BV20">
            <v>83</v>
          </cell>
          <cell r="BW20">
            <v>75</v>
          </cell>
          <cell r="BX20">
            <v>17</v>
          </cell>
          <cell r="CN20">
            <v>75</v>
          </cell>
          <cell r="CO20">
            <v>25</v>
          </cell>
          <cell r="CP20">
            <v>0</v>
          </cell>
          <cell r="DF20">
            <v>94.9</v>
          </cell>
          <cell r="DG20">
            <v>0</v>
          </cell>
          <cell r="DH20">
            <v>0</v>
          </cell>
          <cell r="DX20">
            <v>39.9</v>
          </cell>
          <cell r="DY20">
            <v>0</v>
          </cell>
          <cell r="DZ20">
            <v>0</v>
          </cell>
          <cell r="EP20">
            <v>83</v>
          </cell>
          <cell r="EQ20">
            <v>17.100000000000001</v>
          </cell>
          <cell r="ER20">
            <v>0</v>
          </cell>
          <cell r="FH20">
            <v>82.9</v>
          </cell>
          <cell r="FI20">
            <v>74.900000000000006</v>
          </cell>
          <cell r="FJ20">
            <v>17</v>
          </cell>
          <cell r="FZ20">
            <v>83</v>
          </cell>
          <cell r="GA20">
            <v>75</v>
          </cell>
          <cell r="GB20">
            <v>17</v>
          </cell>
          <cell r="GR20">
            <v>83</v>
          </cell>
          <cell r="GS20">
            <v>75</v>
          </cell>
          <cell r="GT20">
            <v>17</v>
          </cell>
        </row>
        <row r="21">
          <cell r="A21" t="str">
            <v>Net Cost</v>
          </cell>
          <cell r="B21">
            <v>0</v>
          </cell>
          <cell r="C21">
            <v>35.9</v>
          </cell>
          <cell r="D21">
            <v>31.2</v>
          </cell>
          <cell r="T21">
            <v>0</v>
          </cell>
          <cell r="U21">
            <v>88.6</v>
          </cell>
          <cell r="V21">
            <v>100</v>
          </cell>
          <cell r="AL21">
            <v>0</v>
          </cell>
          <cell r="AM21">
            <v>2.5</v>
          </cell>
          <cell r="AN21">
            <v>30.4</v>
          </cell>
          <cell r="BD21">
            <v>0</v>
          </cell>
          <cell r="BE21">
            <v>0</v>
          </cell>
          <cell r="BF21">
            <v>0</v>
          </cell>
          <cell r="BV21">
            <v>0</v>
          </cell>
          <cell r="BW21">
            <v>0</v>
          </cell>
          <cell r="BX21">
            <v>0</v>
          </cell>
          <cell r="CN21">
            <v>0</v>
          </cell>
          <cell r="CO21">
            <v>61.7</v>
          </cell>
          <cell r="CP21">
            <v>73.8</v>
          </cell>
          <cell r="DF21">
            <v>0</v>
          </cell>
          <cell r="DG21">
            <v>61.4</v>
          </cell>
          <cell r="DH21">
            <v>50</v>
          </cell>
          <cell r="DX21">
            <v>0</v>
          </cell>
          <cell r="DY21">
            <v>31.6</v>
          </cell>
          <cell r="DZ21">
            <v>27</v>
          </cell>
          <cell r="EP21">
            <v>0</v>
          </cell>
          <cell r="EQ21">
            <v>0.1</v>
          </cell>
          <cell r="ER21">
            <v>0</v>
          </cell>
          <cell r="FH21">
            <v>0</v>
          </cell>
          <cell r="FI21">
            <v>1.5</v>
          </cell>
          <cell r="FJ21">
            <v>0.9</v>
          </cell>
          <cell r="FZ21">
            <v>0</v>
          </cell>
          <cell r="GA21">
            <v>13</v>
          </cell>
          <cell r="GB21">
            <v>32.799999999999997</v>
          </cell>
          <cell r="GR21">
            <v>0</v>
          </cell>
          <cell r="GS21">
            <v>12.4</v>
          </cell>
          <cell r="GT21">
            <v>31.6</v>
          </cell>
        </row>
        <row r="22">
          <cell r="A22" t="str">
            <v>Total</v>
          </cell>
          <cell r="B22">
            <v>100</v>
          </cell>
          <cell r="C22">
            <v>100</v>
          </cell>
          <cell r="D22">
            <v>100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100</v>
          </cell>
          <cell r="U22">
            <v>100</v>
          </cell>
          <cell r="V22">
            <v>100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100</v>
          </cell>
          <cell r="AM22">
            <v>100</v>
          </cell>
          <cell r="AN22">
            <v>100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100</v>
          </cell>
          <cell r="BE22">
            <v>100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100</v>
          </cell>
          <cell r="BW22">
            <v>100</v>
          </cell>
          <cell r="BX22">
            <v>100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100</v>
          </cell>
          <cell r="CO22">
            <v>100</v>
          </cell>
          <cell r="CP22">
            <v>100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100</v>
          </cell>
          <cell r="DG22">
            <v>100</v>
          </cell>
          <cell r="DH22">
            <v>100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100</v>
          </cell>
          <cell r="DY22">
            <v>100</v>
          </cell>
          <cell r="DZ22">
            <v>100</v>
          </cell>
          <cell r="EA22">
            <v>0</v>
          </cell>
          <cell r="EB22">
            <v>0</v>
          </cell>
          <cell r="EC22">
            <v>0</v>
          </cell>
          <cell r="ED22">
            <v>0</v>
          </cell>
          <cell r="EE22">
            <v>0</v>
          </cell>
          <cell r="EF22">
            <v>0</v>
          </cell>
          <cell r="EG22">
            <v>0</v>
          </cell>
          <cell r="EH22">
            <v>0</v>
          </cell>
          <cell r="EI22">
            <v>0</v>
          </cell>
          <cell r="EJ22">
            <v>0</v>
          </cell>
          <cell r="EK22">
            <v>0</v>
          </cell>
          <cell r="EL22">
            <v>0</v>
          </cell>
          <cell r="EM22">
            <v>0</v>
          </cell>
          <cell r="EN22">
            <v>0</v>
          </cell>
          <cell r="EO22">
            <v>0</v>
          </cell>
          <cell r="EP22">
            <v>100</v>
          </cell>
          <cell r="EQ22">
            <v>100</v>
          </cell>
          <cell r="ER22">
            <v>100</v>
          </cell>
          <cell r="ES22">
            <v>0</v>
          </cell>
          <cell r="ET22">
            <v>0</v>
          </cell>
          <cell r="EU22">
            <v>0</v>
          </cell>
          <cell r="EV22">
            <v>0</v>
          </cell>
          <cell r="EW22">
            <v>0</v>
          </cell>
          <cell r="EX22">
            <v>0</v>
          </cell>
          <cell r="EY22">
            <v>0</v>
          </cell>
          <cell r="EZ22">
            <v>0</v>
          </cell>
          <cell r="FA22">
            <v>0</v>
          </cell>
          <cell r="FB22">
            <v>0</v>
          </cell>
          <cell r="FC22">
            <v>0</v>
          </cell>
          <cell r="FD22">
            <v>0</v>
          </cell>
          <cell r="FE22">
            <v>0</v>
          </cell>
          <cell r="FF22">
            <v>0</v>
          </cell>
          <cell r="FG22">
            <v>0</v>
          </cell>
          <cell r="FH22">
            <v>100</v>
          </cell>
          <cell r="FI22">
            <v>100</v>
          </cell>
          <cell r="FJ22">
            <v>100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100</v>
          </cell>
          <cell r="GA22">
            <v>100</v>
          </cell>
          <cell r="GB22">
            <v>100</v>
          </cell>
          <cell r="GC22">
            <v>0</v>
          </cell>
          <cell r="GD22">
            <v>0</v>
          </cell>
          <cell r="GE22">
            <v>0</v>
          </cell>
          <cell r="GF22">
            <v>0</v>
          </cell>
          <cell r="GG22">
            <v>0</v>
          </cell>
          <cell r="GH22">
            <v>0</v>
          </cell>
          <cell r="GI22">
            <v>0</v>
          </cell>
          <cell r="GJ22">
            <v>0</v>
          </cell>
          <cell r="GK22">
            <v>0</v>
          </cell>
          <cell r="GL22">
            <v>0</v>
          </cell>
          <cell r="GM22">
            <v>0</v>
          </cell>
          <cell r="GN22">
            <v>0</v>
          </cell>
          <cell r="GO22">
            <v>0</v>
          </cell>
          <cell r="GP22">
            <v>0</v>
          </cell>
          <cell r="GQ22">
            <v>0</v>
          </cell>
          <cell r="GR22">
            <v>100</v>
          </cell>
          <cell r="GS22">
            <v>100</v>
          </cell>
          <cell r="GT22">
            <v>100</v>
          </cell>
          <cell r="GU22">
            <v>0</v>
          </cell>
          <cell r="GV22">
            <v>0</v>
          </cell>
          <cell r="GW22">
            <v>0</v>
          </cell>
          <cell r="GX22">
            <v>0</v>
          </cell>
          <cell r="GY22">
            <v>0</v>
          </cell>
          <cell r="GZ22">
            <v>0</v>
          </cell>
          <cell r="HA22">
            <v>0</v>
          </cell>
          <cell r="HB22">
            <v>0</v>
          </cell>
          <cell r="HC22">
            <v>0</v>
          </cell>
          <cell r="HD22">
            <v>0</v>
          </cell>
          <cell r="HE22">
            <v>0</v>
          </cell>
          <cell r="HF22">
            <v>0</v>
          </cell>
          <cell r="HG22">
            <v>0</v>
          </cell>
          <cell r="HH22">
            <v>0</v>
          </cell>
          <cell r="HI22">
            <v>0</v>
          </cell>
        </row>
      </sheetData>
      <sheetData sheetId="3"/>
      <sheetData sheetId="4"/>
      <sheetData sheetId="5"/>
      <sheetData sheetId="6"/>
      <sheetData sheetId="7">
        <row r="17">
          <cell r="O17">
            <v>1</v>
          </cell>
        </row>
        <row r="18">
          <cell r="O18">
            <v>0</v>
          </cell>
        </row>
        <row r="19">
          <cell r="O19">
            <v>0</v>
          </cell>
        </row>
        <row r="20">
          <cell r="O20">
            <v>2</v>
          </cell>
        </row>
        <row r="21">
          <cell r="O21">
            <v>0</v>
          </cell>
        </row>
        <row r="22">
          <cell r="O22">
            <v>0</v>
          </cell>
        </row>
        <row r="34">
          <cell r="B34">
            <v>0</v>
          </cell>
          <cell r="P34">
            <v>0</v>
          </cell>
          <cell r="AD34">
            <v>0</v>
          </cell>
          <cell r="AT34">
            <v>0</v>
          </cell>
        </row>
        <row r="35">
          <cell r="B35">
            <v>1</v>
          </cell>
          <cell r="P35">
            <v>1</v>
          </cell>
          <cell r="AD35">
            <v>1</v>
          </cell>
          <cell r="AT35">
            <v>1</v>
          </cell>
        </row>
        <row r="36">
          <cell r="B36">
            <v>2</v>
          </cell>
          <cell r="P36">
            <v>2</v>
          </cell>
          <cell r="AD36">
            <v>2</v>
          </cell>
          <cell r="AT36">
            <v>2</v>
          </cell>
        </row>
        <row r="37">
          <cell r="B37">
            <v>3</v>
          </cell>
          <cell r="P37">
            <v>3</v>
          </cell>
          <cell r="AD37">
            <v>3</v>
          </cell>
          <cell r="AT37">
            <v>3</v>
          </cell>
        </row>
        <row r="38">
          <cell r="B38">
            <v>4</v>
          </cell>
          <cell r="P38">
            <v>4</v>
          </cell>
          <cell r="AD38">
            <v>4</v>
          </cell>
          <cell r="AT38">
            <v>4</v>
          </cell>
        </row>
        <row r="39">
          <cell r="B39">
            <v>5</v>
          </cell>
          <cell r="P39">
            <v>5</v>
          </cell>
          <cell r="AD39">
            <v>5</v>
          </cell>
          <cell r="AT39">
            <v>5</v>
          </cell>
        </row>
        <row r="40">
          <cell r="B40">
            <v>6</v>
          </cell>
          <cell r="P40">
            <v>6</v>
          </cell>
          <cell r="AD40">
            <v>6</v>
          </cell>
          <cell r="AT40">
            <v>6</v>
          </cell>
        </row>
        <row r="42">
          <cell r="B42" t="str">
            <v>Unit2</v>
          </cell>
          <cell r="P42" t="str">
            <v>Unit11</v>
          </cell>
          <cell r="AD42" t="str">
            <v>Unit21</v>
          </cell>
          <cell r="AT42" t="str">
            <v>Unit27</v>
          </cell>
        </row>
        <row r="45">
          <cell r="B45" t="str">
            <v>CSL</v>
          </cell>
          <cell r="P45" t="str">
            <v>CSL</v>
          </cell>
          <cell r="AD45" t="str">
            <v>CSL</v>
          </cell>
          <cell r="AT45" t="str">
            <v>CSL</v>
          </cell>
        </row>
        <row r="47">
          <cell r="B47">
            <v>0</v>
          </cell>
          <cell r="P47">
            <v>0</v>
          </cell>
          <cell r="AD47">
            <v>0</v>
          </cell>
          <cell r="AT47">
            <v>0</v>
          </cell>
        </row>
        <row r="48">
          <cell r="B48">
            <v>1</v>
          </cell>
          <cell r="P48">
            <v>1</v>
          </cell>
          <cell r="AD48">
            <v>1</v>
          </cell>
          <cell r="AT48">
            <v>1</v>
          </cell>
        </row>
        <row r="49">
          <cell r="B49">
            <v>2</v>
          </cell>
          <cell r="P49">
            <v>2</v>
          </cell>
          <cell r="AD49">
            <v>2</v>
          </cell>
          <cell r="AT49">
            <v>2</v>
          </cell>
        </row>
        <row r="50">
          <cell r="B50">
            <v>3</v>
          </cell>
          <cell r="P50">
            <v>3</v>
          </cell>
          <cell r="AD50">
            <v>3</v>
          </cell>
          <cell r="AT50">
            <v>3</v>
          </cell>
        </row>
        <row r="51">
          <cell r="B51">
            <v>4</v>
          </cell>
          <cell r="P51">
            <v>4</v>
          </cell>
          <cell r="AD51">
            <v>4</v>
          </cell>
          <cell r="AT51">
            <v>4</v>
          </cell>
        </row>
        <row r="52">
          <cell r="B52">
            <v>5</v>
          </cell>
          <cell r="P52">
            <v>5</v>
          </cell>
          <cell r="AD52">
            <v>5</v>
          </cell>
          <cell r="AT52">
            <v>5</v>
          </cell>
        </row>
        <row r="53">
          <cell r="B53">
            <v>6</v>
          </cell>
          <cell r="P53">
            <v>6</v>
          </cell>
          <cell r="AD53">
            <v>6</v>
          </cell>
          <cell r="AT53">
            <v>6</v>
          </cell>
        </row>
        <row r="55">
          <cell r="B55" t="str">
            <v>Unit3</v>
          </cell>
          <cell r="P55" t="str">
            <v>Unit12</v>
          </cell>
          <cell r="AD55" t="str">
            <v>Unit22</v>
          </cell>
          <cell r="AT55" t="str">
            <v>Unit28</v>
          </cell>
        </row>
        <row r="58">
          <cell r="B58" t="str">
            <v>CSL</v>
          </cell>
          <cell r="P58" t="str">
            <v>CSL</v>
          </cell>
          <cell r="AD58" t="str">
            <v>CSL</v>
          </cell>
          <cell r="AT58" t="str">
            <v>CSL</v>
          </cell>
        </row>
        <row r="60">
          <cell r="B60">
            <v>0</v>
          </cell>
          <cell r="P60">
            <v>0</v>
          </cell>
          <cell r="AD60">
            <v>0</v>
          </cell>
          <cell r="AT60">
            <v>0</v>
          </cell>
        </row>
        <row r="61">
          <cell r="B61">
            <v>1</v>
          </cell>
          <cell r="P61">
            <v>1</v>
          </cell>
          <cell r="AD61">
            <v>1</v>
          </cell>
          <cell r="AT61">
            <v>1</v>
          </cell>
        </row>
        <row r="62">
          <cell r="B62">
            <v>2</v>
          </cell>
          <cell r="P62">
            <v>2</v>
          </cell>
          <cell r="AD62">
            <v>2</v>
          </cell>
          <cell r="AT62">
            <v>2</v>
          </cell>
        </row>
        <row r="63">
          <cell r="B63">
            <v>3</v>
          </cell>
          <cell r="P63">
            <v>3</v>
          </cell>
          <cell r="AD63">
            <v>3</v>
          </cell>
          <cell r="AT63">
            <v>3</v>
          </cell>
        </row>
        <row r="64">
          <cell r="B64">
            <v>4</v>
          </cell>
          <cell r="P64">
            <v>4</v>
          </cell>
          <cell r="AD64">
            <v>4</v>
          </cell>
          <cell r="AT64">
            <v>4</v>
          </cell>
        </row>
        <row r="65">
          <cell r="B65">
            <v>5</v>
          </cell>
          <cell r="P65">
            <v>5</v>
          </cell>
          <cell r="AD65">
            <v>5</v>
          </cell>
          <cell r="AT65">
            <v>5</v>
          </cell>
        </row>
        <row r="66">
          <cell r="B66">
            <v>6</v>
          </cell>
          <cell r="P66">
            <v>6</v>
          </cell>
          <cell r="AD66">
            <v>6</v>
          </cell>
          <cell r="AT66">
            <v>6</v>
          </cell>
        </row>
        <row r="68">
          <cell r="B68" t="str">
            <v>Unit4</v>
          </cell>
          <cell r="P68" t="str">
            <v>Unit13</v>
          </cell>
          <cell r="AD68" t="str">
            <v>Unit23</v>
          </cell>
          <cell r="AT68" t="str">
            <v>Unit29</v>
          </cell>
        </row>
        <row r="71">
          <cell r="B71" t="str">
            <v>CSL</v>
          </cell>
          <cell r="P71" t="str">
            <v>CSL</v>
          </cell>
          <cell r="AD71" t="str">
            <v>CSL</v>
          </cell>
          <cell r="AT71" t="str">
            <v>CSL</v>
          </cell>
        </row>
        <row r="73">
          <cell r="B73">
            <v>0</v>
          </cell>
          <cell r="P73">
            <v>0</v>
          </cell>
          <cell r="AD73">
            <v>0</v>
          </cell>
          <cell r="AT73">
            <v>0</v>
          </cell>
        </row>
        <row r="74">
          <cell r="B74">
            <v>1</v>
          </cell>
          <cell r="P74">
            <v>1</v>
          </cell>
          <cell r="AD74">
            <v>1</v>
          </cell>
          <cell r="AT74">
            <v>1</v>
          </cell>
        </row>
        <row r="75">
          <cell r="B75">
            <v>2</v>
          </cell>
          <cell r="P75">
            <v>2</v>
          </cell>
          <cell r="AD75">
            <v>2</v>
          </cell>
          <cell r="AT75">
            <v>2</v>
          </cell>
        </row>
        <row r="76">
          <cell r="B76">
            <v>3</v>
          </cell>
          <cell r="P76">
            <v>3</v>
          </cell>
          <cell r="AD76">
            <v>3</v>
          </cell>
          <cell r="AT76">
            <v>3</v>
          </cell>
        </row>
        <row r="77">
          <cell r="B77">
            <v>4</v>
          </cell>
          <cell r="P77">
            <v>4</v>
          </cell>
          <cell r="AD77">
            <v>4</v>
          </cell>
          <cell r="AT77">
            <v>4</v>
          </cell>
        </row>
        <row r="78">
          <cell r="B78">
            <v>5</v>
          </cell>
          <cell r="P78">
            <v>5</v>
          </cell>
          <cell r="AD78">
            <v>5</v>
          </cell>
          <cell r="AT78">
            <v>5</v>
          </cell>
        </row>
        <row r="79">
          <cell r="B79">
            <v>6</v>
          </cell>
          <cell r="P79">
            <v>6</v>
          </cell>
          <cell r="AD79">
            <v>6</v>
          </cell>
          <cell r="AT79">
            <v>6</v>
          </cell>
        </row>
        <row r="81">
          <cell r="B81" t="str">
            <v>Unit5</v>
          </cell>
          <cell r="P81" t="str">
            <v>Unit14</v>
          </cell>
          <cell r="AD81" t="str">
            <v>Unit24</v>
          </cell>
          <cell r="AT81" t="str">
            <v>Unit30</v>
          </cell>
        </row>
        <row r="84">
          <cell r="B84" t="str">
            <v>CSL</v>
          </cell>
          <cell r="P84" t="str">
            <v>CSL</v>
          </cell>
          <cell r="AD84" t="str">
            <v>CSL</v>
          </cell>
          <cell r="AT84" t="str">
            <v>CSL</v>
          </cell>
        </row>
        <row r="86">
          <cell r="B86">
            <v>0</v>
          </cell>
          <cell r="P86">
            <v>0</v>
          </cell>
          <cell r="AD86">
            <v>0</v>
          </cell>
          <cell r="AT86">
            <v>0</v>
          </cell>
        </row>
        <row r="87">
          <cell r="B87">
            <v>1</v>
          </cell>
          <cell r="P87">
            <v>1</v>
          </cell>
          <cell r="AD87">
            <v>1</v>
          </cell>
          <cell r="AT87">
            <v>1</v>
          </cell>
        </row>
        <row r="88">
          <cell r="B88">
            <v>2</v>
          </cell>
          <cell r="P88">
            <v>2</v>
          </cell>
          <cell r="AD88">
            <v>2</v>
          </cell>
          <cell r="AT88">
            <v>2</v>
          </cell>
        </row>
        <row r="89">
          <cell r="B89">
            <v>3</v>
          </cell>
          <cell r="P89">
            <v>3</v>
          </cell>
          <cell r="AD89">
            <v>3</v>
          </cell>
          <cell r="AT89">
            <v>3</v>
          </cell>
        </row>
        <row r="90">
          <cell r="B90">
            <v>4</v>
          </cell>
          <cell r="P90">
            <v>4</v>
          </cell>
          <cell r="AD90">
            <v>4</v>
          </cell>
          <cell r="AT90">
            <v>4</v>
          </cell>
        </row>
        <row r="91">
          <cell r="B91">
            <v>5</v>
          </cell>
          <cell r="P91">
            <v>5</v>
          </cell>
          <cell r="AD91">
            <v>5</v>
          </cell>
          <cell r="AT91">
            <v>5</v>
          </cell>
        </row>
        <row r="92">
          <cell r="B92">
            <v>6</v>
          </cell>
          <cell r="P92">
            <v>6</v>
          </cell>
          <cell r="AD92">
            <v>6</v>
          </cell>
          <cell r="AT92">
            <v>6</v>
          </cell>
        </row>
        <row r="94">
          <cell r="B94" t="str">
            <v>Unit6</v>
          </cell>
          <cell r="AD94" t="str">
            <v>Unit25</v>
          </cell>
          <cell r="AT94" t="str">
            <v>Unit31</v>
          </cell>
        </row>
        <row r="97">
          <cell r="B97" t="str">
            <v>CSL</v>
          </cell>
          <cell r="AD97" t="str">
            <v>CSL</v>
          </cell>
          <cell r="AT97" t="str">
            <v>CSL</v>
          </cell>
        </row>
        <row r="99">
          <cell r="B99">
            <v>0</v>
          </cell>
          <cell r="AD99">
            <v>0</v>
          </cell>
          <cell r="AT99">
            <v>0</v>
          </cell>
        </row>
        <row r="100">
          <cell r="B100">
            <v>1</v>
          </cell>
          <cell r="AD100">
            <v>1</v>
          </cell>
          <cell r="AT100">
            <v>1</v>
          </cell>
        </row>
        <row r="101">
          <cell r="B101">
            <v>2</v>
          </cell>
          <cell r="AD101">
            <v>2</v>
          </cell>
          <cell r="AT101">
            <v>2</v>
          </cell>
        </row>
        <row r="102">
          <cell r="B102">
            <v>3</v>
          </cell>
          <cell r="AD102">
            <v>3</v>
          </cell>
          <cell r="AT102">
            <v>3</v>
          </cell>
        </row>
        <row r="103">
          <cell r="B103">
            <v>4</v>
          </cell>
          <cell r="AD103">
            <v>4</v>
          </cell>
          <cell r="AT103">
            <v>4</v>
          </cell>
        </row>
        <row r="104">
          <cell r="B104">
            <v>5</v>
          </cell>
          <cell r="AD104">
            <v>5</v>
          </cell>
          <cell r="AT104">
            <v>5</v>
          </cell>
        </row>
        <row r="105">
          <cell r="B105">
            <v>6</v>
          </cell>
          <cell r="AD105">
            <v>6</v>
          </cell>
          <cell r="AT105">
            <v>6</v>
          </cell>
        </row>
      </sheetData>
      <sheetData sheetId="8">
        <row r="4">
          <cell r="B4" t="str">
            <v>AEO 2009 Ref. w/ARRA</v>
          </cell>
          <cell r="C4" t="str">
            <v>Residential</v>
          </cell>
          <cell r="F4">
            <v>2013</v>
          </cell>
          <cell r="G4" t="str">
            <v>Nominal</v>
          </cell>
          <cell r="I4" t="str">
            <v>Actual</v>
          </cell>
        </row>
        <row r="5">
          <cell r="B5" t="str">
            <v>AEO 2009 ARRA Scaled High Growth</v>
          </cell>
          <cell r="C5" t="str">
            <v>Commercial</v>
          </cell>
          <cell r="F5">
            <v>2014</v>
          </cell>
          <cell r="G5" t="str">
            <v>High</v>
          </cell>
          <cell r="I5" t="str">
            <v>100% Baseline</v>
          </cell>
        </row>
        <row r="6">
          <cell r="B6" t="str">
            <v>AEO 2009 ARRA Scaled Low Growth</v>
          </cell>
          <cell r="F6">
            <v>2015</v>
          </cell>
          <cell r="G6" t="str">
            <v>Low</v>
          </cell>
        </row>
        <row r="7">
          <cell r="B7" t="str">
            <v>Carbon Cap and Trade</v>
          </cell>
          <cell r="F7">
            <v>2016</v>
          </cell>
        </row>
        <row r="8">
          <cell r="F8">
            <v>2017</v>
          </cell>
        </row>
        <row r="11">
          <cell r="B11" t="str">
            <v>AEO 2009 Ref. w/ARRA</v>
          </cell>
          <cell r="C11" t="str">
            <v>Residential</v>
          </cell>
          <cell r="D11">
            <v>1</v>
          </cell>
          <cell r="E11" t="b">
            <v>1</v>
          </cell>
          <cell r="F11" t="str">
            <v>2013</v>
          </cell>
          <cell r="G11" t="str">
            <v>Dist.</v>
          </cell>
          <cell r="H11" t="e">
            <v>#N/A</v>
          </cell>
          <cell r="I11" t="str">
            <v>Actual</v>
          </cell>
          <cell r="J11">
            <v>1</v>
          </cell>
        </row>
      </sheetData>
      <sheetData sheetId="9">
        <row r="7">
          <cell r="F7">
            <v>0</v>
          </cell>
          <cell r="G7">
            <v>1</v>
          </cell>
          <cell r="H7">
            <v>2</v>
          </cell>
          <cell r="I7">
            <v>3</v>
          </cell>
          <cell r="J7">
            <v>4</v>
          </cell>
          <cell r="K7">
            <v>5</v>
          </cell>
          <cell r="L7">
            <v>6</v>
          </cell>
          <cell r="M7">
            <v>0</v>
          </cell>
          <cell r="N7">
            <v>1</v>
          </cell>
          <cell r="O7">
            <v>2</v>
          </cell>
          <cell r="P7">
            <v>3</v>
          </cell>
          <cell r="Q7">
            <v>4</v>
          </cell>
          <cell r="R7">
            <v>5</v>
          </cell>
          <cell r="S7">
            <v>6</v>
          </cell>
          <cell r="T7">
            <v>0</v>
          </cell>
          <cell r="U7">
            <v>1</v>
          </cell>
          <cell r="V7">
            <v>2</v>
          </cell>
          <cell r="W7">
            <v>3</v>
          </cell>
          <cell r="X7">
            <v>4</v>
          </cell>
          <cell r="Y7">
            <v>5</v>
          </cell>
          <cell r="Z7">
            <v>6</v>
          </cell>
          <cell r="AA7">
            <v>0</v>
          </cell>
          <cell r="AB7">
            <v>1</v>
          </cell>
          <cell r="AC7">
            <v>2</v>
          </cell>
          <cell r="AD7">
            <v>3</v>
          </cell>
          <cell r="AE7">
            <v>4</v>
          </cell>
          <cell r="AF7">
            <v>5</v>
          </cell>
          <cell r="AG7">
            <v>6</v>
          </cell>
          <cell r="AH7">
            <v>0</v>
          </cell>
          <cell r="AI7">
            <v>1</v>
          </cell>
          <cell r="AJ7">
            <v>2</v>
          </cell>
          <cell r="AK7">
            <v>3</v>
          </cell>
          <cell r="AL7">
            <v>4</v>
          </cell>
          <cell r="AM7">
            <v>5</v>
          </cell>
          <cell r="AN7">
            <v>6</v>
          </cell>
          <cell r="AO7">
            <v>0</v>
          </cell>
          <cell r="AP7">
            <v>1</v>
          </cell>
          <cell r="AQ7">
            <v>2</v>
          </cell>
          <cell r="AR7">
            <v>3</v>
          </cell>
          <cell r="AS7">
            <v>4</v>
          </cell>
          <cell r="AT7">
            <v>5</v>
          </cell>
          <cell r="AU7">
            <v>6</v>
          </cell>
        </row>
        <row r="10">
          <cell r="D10">
            <v>9.45944897486794E-2</v>
          </cell>
          <cell r="E10">
            <v>0.90457270210189777</v>
          </cell>
        </row>
        <row r="11">
          <cell r="D11">
            <v>9.5740066453868733E-2</v>
          </cell>
          <cell r="E11">
            <v>0.81825177338792876</v>
          </cell>
        </row>
        <row r="12">
          <cell r="D12">
            <v>9.6017314980886045E-2</v>
          </cell>
          <cell r="E12">
            <v>0.74016821765318841</v>
          </cell>
        </row>
        <row r="13">
          <cell r="D13">
            <v>9.684469010091061E-2</v>
          </cell>
          <cell r="E13">
            <v>0.66953596465249021</v>
          </cell>
        </row>
        <row r="14">
          <cell r="D14">
            <v>9.7904019879123366E-2</v>
          </cell>
          <cell r="E14">
            <v>0.60564395670010374</v>
          </cell>
        </row>
        <row r="15">
          <cell r="D15">
            <v>9.8916834194244393E-2</v>
          </cell>
          <cell r="E15">
            <v>0.54784899042389767</v>
          </cell>
        </row>
        <row r="16">
          <cell r="D16">
            <v>9.9554405588214226E-2</v>
          </cell>
          <cell r="E16">
            <v>0.49556924161154181</v>
          </cell>
        </row>
        <row r="17">
          <cell r="D17">
            <v>0.10082806585884442</v>
          </cell>
          <cell r="E17">
            <v>0.44827840796314067</v>
          </cell>
        </row>
        <row r="18">
          <cell r="D18">
            <v>0.10194867104247847</v>
          </cell>
          <cell r="E18">
            <v>0.40550041078515497</v>
          </cell>
        </row>
        <row r="19">
          <cell r="D19">
            <v>0.10258048433921947</v>
          </cell>
          <cell r="E19">
            <v>0.36680460228735723</v>
          </cell>
        </row>
        <row r="20">
          <cell r="D20">
            <v>0.10236116665857434</v>
          </cell>
          <cell r="E20">
            <v>0.33180143023448672</v>
          </cell>
        </row>
        <row r="21">
          <cell r="D21">
            <v>0.10235087205837955</v>
          </cell>
          <cell r="E21">
            <v>0.30013851630848393</v>
          </cell>
        </row>
        <row r="22">
          <cell r="D22">
            <v>0.10229527172921765</v>
          </cell>
          <cell r="E22">
            <v>0.27149710870201982</v>
          </cell>
        </row>
        <row r="23">
          <cell r="D23">
            <v>0.10246928368089535</v>
          </cell>
          <cell r="E23">
            <v>0.24558887323143874</v>
          </cell>
        </row>
        <row r="24">
          <cell r="D24">
            <v>0.10359744377273707</v>
          </cell>
          <cell r="E24">
            <v>0.22215299066512298</v>
          </cell>
        </row>
        <row r="25">
          <cell r="D25">
            <v>0.10488230001408577</v>
          </cell>
          <cell r="E25">
            <v>0.20095353104596794</v>
          </cell>
        </row>
        <row r="26">
          <cell r="D26">
            <v>0.10617311004494814</v>
          </cell>
          <cell r="E26">
            <v>0.18177707857516881</v>
          </cell>
        </row>
        <row r="27">
          <cell r="D27">
            <v>0.10723314550139999</v>
          </cell>
          <cell r="E27">
            <v>0.16443058314692949</v>
          </cell>
        </row>
        <row r="28">
          <cell r="D28">
            <v>0.10789561786922659</v>
          </cell>
          <cell r="E28">
            <v>0.14873941690540876</v>
          </cell>
        </row>
        <row r="29">
          <cell r="D29">
            <v>0.10856218290482005</v>
          </cell>
          <cell r="E29">
            <v>0.13454561625918629</v>
          </cell>
        </row>
        <row r="30">
          <cell r="D30">
            <v>0.10923286589214731</v>
          </cell>
          <cell r="E30">
            <v>0.12170629165553719</v>
          </cell>
        </row>
        <row r="31">
          <cell r="D31">
            <v>0.10990769227137638</v>
          </cell>
          <cell r="E31">
            <v>0.11009218910565091</v>
          </cell>
        </row>
        <row r="32">
          <cell r="D32">
            <v>0.11058668763984128</v>
          </cell>
          <cell r="E32">
            <v>9.9586388979611778E-2</v>
          </cell>
        </row>
        <row r="33">
          <cell r="D33">
            <v>0.11126987775301302</v>
          </cell>
          <cell r="E33">
            <v>9.0083128971858079E-2</v>
          </cell>
        </row>
        <row r="34">
          <cell r="D34">
            <v>0.11195728852547655</v>
          </cell>
          <cell r="E34">
            <v>8.1486739387867407E-2</v>
          </cell>
        </row>
        <row r="35">
          <cell r="D35">
            <v>0.11264894603191375</v>
          </cell>
          <cell r="E35">
            <v>7.3710680033556367E-2</v>
          </cell>
        </row>
        <row r="36">
          <cell r="D36">
            <v>0.1133448765080925</v>
          </cell>
          <cell r="E36">
            <v>6.6676669011722492E-2</v>
          </cell>
        </row>
        <row r="37">
          <cell r="D37">
            <v>0.1140451063518617</v>
          </cell>
          <cell r="E37">
            <v>6.0313894655087692E-2</v>
          </cell>
        </row>
        <row r="38">
          <cell r="D38">
            <v>0.11474966212415288</v>
          </cell>
          <cell r="E38">
            <v>5.4558302662441875E-2</v>
          </cell>
        </row>
        <row r="46">
          <cell r="F46">
            <v>0</v>
          </cell>
          <cell r="G46">
            <v>1</v>
          </cell>
          <cell r="H46">
            <v>2</v>
          </cell>
          <cell r="I46">
            <v>3</v>
          </cell>
          <cell r="J46">
            <v>4</v>
          </cell>
          <cell r="K46">
            <v>5</v>
          </cell>
          <cell r="L46">
            <v>6</v>
          </cell>
          <cell r="M46">
            <v>0</v>
          </cell>
          <cell r="N46">
            <v>1</v>
          </cell>
          <cell r="O46">
            <v>2</v>
          </cell>
          <cell r="P46">
            <v>3</v>
          </cell>
          <cell r="Q46">
            <v>4</v>
          </cell>
          <cell r="R46">
            <v>5</v>
          </cell>
          <cell r="S46">
            <v>6</v>
          </cell>
          <cell r="T46">
            <v>0</v>
          </cell>
          <cell r="U46">
            <v>1</v>
          </cell>
          <cell r="V46">
            <v>2</v>
          </cell>
          <cell r="W46">
            <v>3</v>
          </cell>
          <cell r="X46">
            <v>4</v>
          </cell>
          <cell r="Y46">
            <v>5</v>
          </cell>
          <cell r="Z46">
            <v>6</v>
          </cell>
          <cell r="AA46">
            <v>0</v>
          </cell>
          <cell r="AB46">
            <v>1</v>
          </cell>
          <cell r="AC46">
            <v>2</v>
          </cell>
          <cell r="AD46">
            <v>3</v>
          </cell>
          <cell r="AE46">
            <v>4</v>
          </cell>
          <cell r="AF46">
            <v>5</v>
          </cell>
          <cell r="AG46">
            <v>6</v>
          </cell>
          <cell r="AH46">
            <v>0</v>
          </cell>
          <cell r="AI46">
            <v>1</v>
          </cell>
          <cell r="AJ46">
            <v>2</v>
          </cell>
          <cell r="AK46">
            <v>3</v>
          </cell>
          <cell r="AL46">
            <v>4</v>
          </cell>
          <cell r="AM46">
            <v>5</v>
          </cell>
          <cell r="AN46">
            <v>6</v>
          </cell>
        </row>
        <row r="85">
          <cell r="F85">
            <v>0</v>
          </cell>
          <cell r="G85">
            <v>1</v>
          </cell>
          <cell r="H85">
            <v>2</v>
          </cell>
          <cell r="I85">
            <v>3</v>
          </cell>
          <cell r="J85">
            <v>4</v>
          </cell>
          <cell r="K85">
            <v>5</v>
          </cell>
          <cell r="L85">
            <v>6</v>
          </cell>
          <cell r="M85">
            <v>0</v>
          </cell>
          <cell r="N85">
            <v>1</v>
          </cell>
          <cell r="O85">
            <v>2</v>
          </cell>
          <cell r="P85">
            <v>3</v>
          </cell>
          <cell r="Q85">
            <v>4</v>
          </cell>
          <cell r="R85">
            <v>5</v>
          </cell>
          <cell r="S85">
            <v>6</v>
          </cell>
          <cell r="T85">
            <v>0</v>
          </cell>
          <cell r="U85">
            <v>1</v>
          </cell>
          <cell r="V85">
            <v>2</v>
          </cell>
          <cell r="W85">
            <v>3</v>
          </cell>
          <cell r="X85">
            <v>4</v>
          </cell>
          <cell r="Y85">
            <v>5</v>
          </cell>
          <cell r="Z85">
            <v>6</v>
          </cell>
          <cell r="AA85">
            <v>0</v>
          </cell>
          <cell r="AB85">
            <v>1</v>
          </cell>
          <cell r="AC85">
            <v>2</v>
          </cell>
          <cell r="AD85">
            <v>3</v>
          </cell>
          <cell r="AE85">
            <v>4</v>
          </cell>
          <cell r="AF85">
            <v>5</v>
          </cell>
          <cell r="AG85">
            <v>6</v>
          </cell>
          <cell r="AH85">
            <v>0</v>
          </cell>
          <cell r="AI85">
            <v>1</v>
          </cell>
          <cell r="AJ85">
            <v>2</v>
          </cell>
          <cell r="AK85">
            <v>3</v>
          </cell>
          <cell r="AL85">
            <v>4</v>
          </cell>
          <cell r="AM85">
            <v>5</v>
          </cell>
          <cell r="AN85">
            <v>6</v>
          </cell>
          <cell r="AO85">
            <v>0</v>
          </cell>
          <cell r="AP85">
            <v>1</v>
          </cell>
          <cell r="AQ85">
            <v>2</v>
          </cell>
          <cell r="AR85">
            <v>3</v>
          </cell>
          <cell r="AS85">
            <v>4</v>
          </cell>
          <cell r="AT85">
            <v>5</v>
          </cell>
          <cell r="AU85">
            <v>6</v>
          </cell>
          <cell r="AV85">
            <v>0</v>
          </cell>
          <cell r="AW85">
            <v>1</v>
          </cell>
          <cell r="AX85">
            <v>2</v>
          </cell>
          <cell r="AY85">
            <v>3</v>
          </cell>
          <cell r="AZ85">
            <v>4</v>
          </cell>
          <cell r="BA85">
            <v>5</v>
          </cell>
          <cell r="BB85">
            <v>6</v>
          </cell>
          <cell r="BC85">
            <v>0</v>
          </cell>
          <cell r="BD85">
            <v>1</v>
          </cell>
          <cell r="BE85">
            <v>2</v>
          </cell>
          <cell r="BF85">
            <v>3</v>
          </cell>
          <cell r="BG85">
            <v>4</v>
          </cell>
          <cell r="BH85">
            <v>5</v>
          </cell>
          <cell r="BI85">
            <v>6</v>
          </cell>
          <cell r="BJ85">
            <v>0</v>
          </cell>
          <cell r="BK85">
            <v>1</v>
          </cell>
          <cell r="BL85">
            <v>2</v>
          </cell>
          <cell r="BM85">
            <v>3</v>
          </cell>
          <cell r="BN85">
            <v>4</v>
          </cell>
          <cell r="BO85">
            <v>5</v>
          </cell>
          <cell r="BP85">
            <v>6</v>
          </cell>
          <cell r="BQ85">
            <v>0</v>
          </cell>
          <cell r="BR85">
            <v>1</v>
          </cell>
          <cell r="BS85">
            <v>2</v>
          </cell>
          <cell r="BT85">
            <v>3</v>
          </cell>
          <cell r="BU85">
            <v>4</v>
          </cell>
          <cell r="BV85">
            <v>5</v>
          </cell>
          <cell r="BW85">
            <v>6</v>
          </cell>
          <cell r="BX85">
            <v>0</v>
          </cell>
          <cell r="BY85">
            <v>1</v>
          </cell>
          <cell r="BZ85">
            <v>2</v>
          </cell>
          <cell r="CA85">
            <v>3</v>
          </cell>
          <cell r="CB85">
            <v>4</v>
          </cell>
          <cell r="CC85">
            <v>5</v>
          </cell>
          <cell r="CD85">
            <v>6</v>
          </cell>
          <cell r="CE85">
            <v>0</v>
          </cell>
          <cell r="CF85">
            <v>1</v>
          </cell>
          <cell r="CG85">
            <v>2</v>
          </cell>
          <cell r="CH85">
            <v>3</v>
          </cell>
          <cell r="CI85">
            <v>4</v>
          </cell>
          <cell r="CJ85">
            <v>5</v>
          </cell>
          <cell r="CK85">
            <v>6</v>
          </cell>
        </row>
      </sheetData>
      <sheetData sheetId="10"/>
      <sheetData sheetId="11">
        <row r="17">
          <cell r="B17" t="str">
            <v>Unit #</v>
          </cell>
          <cell r="C17" t="str">
            <v>Category Description</v>
          </cell>
          <cell r="D17" t="str">
            <v>Nameplate Output Power [W]</v>
          </cell>
          <cell r="E17" t="str">
            <v>Output Voltage [V]</v>
          </cell>
          <cell r="F17" t="str">
            <v>Output Cord Length [ft]</v>
          </cell>
          <cell r="G17" t="str">
            <v>Production Volume</v>
          </cell>
        </row>
        <row r="25">
          <cell r="B25" t="str">
            <v>Unit #</v>
          </cell>
          <cell r="C25" t="str">
            <v>Category Description</v>
          </cell>
          <cell r="D25" t="str">
            <v>Battery Energy [Wh]</v>
          </cell>
          <cell r="E25" t="str">
            <v>Battery Voltage [V]</v>
          </cell>
          <cell r="F25" t="str">
            <v>Output Cord Length [ft]</v>
          </cell>
          <cell r="G25" t="str">
            <v>Production Volume</v>
          </cell>
        </row>
      </sheetData>
      <sheetData sheetId="12">
        <row r="8">
          <cell r="A8">
            <v>1</v>
          </cell>
          <cell r="B8" t="str">
            <v>Multiple-Voltage</v>
          </cell>
          <cell r="C8">
            <v>40</v>
          </cell>
          <cell r="D8">
            <v>16</v>
          </cell>
          <cell r="E8">
            <v>32</v>
          </cell>
          <cell r="G8">
            <v>1000000</v>
          </cell>
        </row>
        <row r="22">
          <cell r="A22">
            <v>2</v>
          </cell>
          <cell r="B22" t="str">
            <v>Multiple-Voltage</v>
          </cell>
          <cell r="C22">
            <v>203</v>
          </cell>
          <cell r="D22">
            <v>5</v>
          </cell>
          <cell r="E22">
            <v>12</v>
          </cell>
          <cell r="G22">
            <v>4000000</v>
          </cell>
        </row>
        <row r="36">
          <cell r="A36">
            <v>3</v>
          </cell>
          <cell r="B36" t="str">
            <v>High Power</v>
          </cell>
          <cell r="C36">
            <v>345</v>
          </cell>
          <cell r="D36">
            <v>13.8</v>
          </cell>
          <cell r="G36">
            <v>1000</v>
          </cell>
        </row>
        <row r="50">
          <cell r="A50">
            <v>4</v>
          </cell>
          <cell r="B50" t="str">
            <v>Medical</v>
          </cell>
          <cell r="C50">
            <v>18</v>
          </cell>
          <cell r="D50">
            <v>12</v>
          </cell>
          <cell r="G50">
            <v>10000</v>
          </cell>
        </row>
        <row r="64">
          <cell r="A64">
            <v>5</v>
          </cell>
          <cell r="B64" t="str">
            <v>EPSs for BCs</v>
          </cell>
          <cell r="C64">
            <v>1.8</v>
          </cell>
          <cell r="D64">
            <v>6</v>
          </cell>
          <cell r="G64">
            <v>1000000</v>
          </cell>
        </row>
        <row r="78">
          <cell r="A78">
            <v>6</v>
          </cell>
          <cell r="B78" t="str">
            <v>EPSs for BCs</v>
          </cell>
          <cell r="C78">
            <v>4.8</v>
          </cell>
          <cell r="D78">
            <v>24</v>
          </cell>
          <cell r="G78">
            <v>1000000</v>
          </cell>
        </row>
      </sheetData>
      <sheetData sheetId="13">
        <row r="8">
          <cell r="A8">
            <v>10</v>
          </cell>
          <cell r="B8" t="str">
            <v>Regular AC/DC</v>
          </cell>
          <cell r="C8">
            <v>2.5</v>
          </cell>
          <cell r="D8">
            <v>5</v>
          </cell>
          <cell r="E8">
            <v>1.66</v>
          </cell>
          <cell r="F8">
            <v>1347.48</v>
          </cell>
        </row>
        <row r="22">
          <cell r="A22">
            <v>11</v>
          </cell>
          <cell r="B22" t="str">
            <v>Regular AC/DC</v>
          </cell>
          <cell r="C22">
            <v>18</v>
          </cell>
          <cell r="D22">
            <v>12</v>
          </cell>
          <cell r="E22">
            <v>1.66</v>
          </cell>
          <cell r="F22">
            <v>945.17</v>
          </cell>
        </row>
        <row r="36">
          <cell r="A36">
            <v>12</v>
          </cell>
          <cell r="B36" t="str">
            <v>Regular AC/DC</v>
          </cell>
          <cell r="C36">
            <v>60</v>
          </cell>
          <cell r="D36">
            <v>15</v>
          </cell>
          <cell r="E36">
            <v>1.66</v>
          </cell>
          <cell r="F36">
            <v>1738.25</v>
          </cell>
        </row>
        <row r="50">
          <cell r="A50">
            <v>13</v>
          </cell>
          <cell r="B50" t="str">
            <v>Regular AC/DC</v>
          </cell>
          <cell r="C50">
            <v>120</v>
          </cell>
          <cell r="D50">
            <v>19</v>
          </cell>
          <cell r="E50">
            <v>1.66</v>
          </cell>
          <cell r="F50">
            <v>1000</v>
          </cell>
        </row>
        <row r="64">
          <cell r="A64">
            <v>14</v>
          </cell>
          <cell r="B64" t="str">
            <v>BLANK</v>
          </cell>
        </row>
      </sheetData>
      <sheetData sheetId="14">
        <row r="8">
          <cell r="A8">
            <v>20</v>
          </cell>
          <cell r="B8" t="str">
            <v>Low E, Inductive</v>
          </cell>
          <cell r="C8">
            <v>0.8</v>
          </cell>
          <cell r="D8">
            <v>1.2</v>
          </cell>
        </row>
        <row r="22">
          <cell r="A22">
            <v>21</v>
          </cell>
          <cell r="B22" t="str">
            <v>Low E, Low Voltage</v>
          </cell>
          <cell r="C22">
            <v>3</v>
          </cell>
          <cell r="D22">
            <v>3.6</v>
          </cell>
        </row>
        <row r="36">
          <cell r="A36">
            <v>22</v>
          </cell>
          <cell r="B36" t="str">
            <v>Low E, Medium Voltage</v>
          </cell>
        </row>
        <row r="50">
          <cell r="A50">
            <v>23</v>
          </cell>
          <cell r="B50" t="str">
            <v>Low E, High Voltage</v>
          </cell>
          <cell r="C50">
            <v>20</v>
          </cell>
          <cell r="D50">
            <v>10.8</v>
          </cell>
        </row>
        <row r="64">
          <cell r="A64">
            <v>24</v>
          </cell>
          <cell r="B64" t="str">
            <v>Medium E, Low Voltage</v>
          </cell>
          <cell r="C64">
            <v>900</v>
          </cell>
          <cell r="D64">
            <v>12</v>
          </cell>
        </row>
        <row r="78">
          <cell r="A78">
            <v>25</v>
          </cell>
          <cell r="B78" t="str">
            <v>Medium E, High Voltage</v>
          </cell>
        </row>
        <row r="92">
          <cell r="A92">
            <v>26</v>
          </cell>
          <cell r="B92" t="str">
            <v>High E</v>
          </cell>
          <cell r="C92">
            <v>3725</v>
          </cell>
          <cell r="D92">
            <v>48</v>
          </cell>
        </row>
        <row r="106">
          <cell r="A106">
            <v>27</v>
          </cell>
          <cell r="B106" t="str">
            <v>Low E, 5V In</v>
          </cell>
        </row>
        <row r="120">
          <cell r="A120">
            <v>28</v>
          </cell>
          <cell r="B120" t="str">
            <v xml:space="preserve">Low E, 12V In </v>
          </cell>
        </row>
        <row r="134">
          <cell r="A134">
            <v>29</v>
          </cell>
          <cell r="B134" t="str">
            <v xml:space="preserve">Low E,  AC Out </v>
          </cell>
          <cell r="C134">
            <v>90</v>
          </cell>
          <cell r="D134">
            <v>12</v>
          </cell>
        </row>
        <row r="148">
          <cell r="A148">
            <v>30</v>
          </cell>
          <cell r="B148" t="str">
            <v>BLANK</v>
          </cell>
        </row>
        <row r="162">
          <cell r="A162">
            <v>31</v>
          </cell>
          <cell r="B162" t="str">
            <v>BLANK2</v>
          </cell>
        </row>
      </sheetData>
      <sheetData sheetId="15"/>
      <sheetData sheetId="16"/>
      <sheetData sheetId="17">
        <row r="4">
          <cell r="E4" t="str">
            <v>Division &amp; Large State Number</v>
          </cell>
          <cell r="F4" t="str">
            <v>Division &amp; Large State Name</v>
          </cell>
          <cell r="G4" t="str">
            <v>Division States</v>
          </cell>
          <cell r="H4" t="str">
            <v>2008 Population</v>
          </cell>
          <cell r="I4" t="str">
            <v>Division Weighted Sales Tax</v>
          </cell>
        </row>
        <row r="9">
          <cell r="C9">
            <v>6.504719796963962E-2</v>
          </cell>
        </row>
      </sheetData>
      <sheetData sheetId="18">
        <row r="8">
          <cell r="B8">
            <v>0</v>
          </cell>
        </row>
        <row r="9">
          <cell r="B9">
            <v>1</v>
          </cell>
        </row>
        <row r="10">
          <cell r="B10">
            <v>2</v>
          </cell>
        </row>
        <row r="11">
          <cell r="B11">
            <v>3</v>
          </cell>
        </row>
        <row r="12">
          <cell r="B12">
            <v>4</v>
          </cell>
        </row>
        <row r="13">
          <cell r="B13">
            <v>5</v>
          </cell>
        </row>
        <row r="14">
          <cell r="B14">
            <v>6</v>
          </cell>
        </row>
      </sheetData>
      <sheetData sheetId="19"/>
      <sheetData sheetId="20">
        <row r="34">
          <cell r="C34">
            <v>1</v>
          </cell>
        </row>
        <row r="35">
          <cell r="C35">
            <v>0</v>
          </cell>
        </row>
        <row r="36">
          <cell r="C36">
            <v>0</v>
          </cell>
        </row>
        <row r="37">
          <cell r="C37">
            <v>0</v>
          </cell>
        </row>
        <row r="38">
          <cell r="C38">
            <v>0</v>
          </cell>
        </row>
        <row r="39">
          <cell r="C39">
            <v>0</v>
          </cell>
        </row>
        <row r="40">
          <cell r="C40">
            <v>0</v>
          </cell>
        </row>
      </sheetData>
      <sheetData sheetId="21">
        <row r="7">
          <cell r="D7">
            <v>0.1054943374660367</v>
          </cell>
        </row>
      </sheetData>
      <sheetData sheetId="22">
        <row r="19">
          <cell r="C19">
            <v>9.8783733790229866E-2</v>
          </cell>
          <cell r="D19">
            <v>8.6819583706458342E-2</v>
          </cell>
        </row>
        <row r="26">
          <cell r="D26">
            <v>8</v>
          </cell>
        </row>
        <row r="30">
          <cell r="H30">
            <v>207.34200000000001</v>
          </cell>
        </row>
        <row r="31">
          <cell r="H31">
            <v>215.303</v>
          </cell>
        </row>
      </sheetData>
      <sheetData sheetId="23">
        <row r="5">
          <cell r="E5">
            <v>1</v>
          </cell>
        </row>
        <row r="15">
          <cell r="C15">
            <v>1</v>
          </cell>
          <cell r="D15">
            <v>1</v>
          </cell>
        </row>
        <row r="16">
          <cell r="C16">
            <v>0.96739407620601359</v>
          </cell>
          <cell r="D16">
            <v>0.95007989155071537</v>
          </cell>
        </row>
        <row r="17">
          <cell r="C17">
            <v>0.90065528450169563</v>
          </cell>
          <cell r="D17">
            <v>0.85471021442128092</v>
          </cell>
        </row>
        <row r="18">
          <cell r="C18">
            <v>0.9402256246627746</v>
          </cell>
          <cell r="D18">
            <v>0.88037213406867021</v>
          </cell>
        </row>
        <row r="19">
          <cell r="C19">
            <v>0.94740273025003685</v>
          </cell>
          <cell r="D19">
            <v>0.87551877651646659</v>
          </cell>
          <cell r="G19">
            <v>2008</v>
          </cell>
          <cell r="H19">
            <v>31.772819519043001</v>
          </cell>
          <cell r="I19">
            <v>31.786213321229337</v>
          </cell>
          <cell r="J19">
            <v>31.772643383423862</v>
          </cell>
          <cell r="K19">
            <v>31.744738647937748</v>
          </cell>
          <cell r="V19">
            <v>29.057315826416001</v>
          </cell>
          <cell r="W19">
            <v>29.078416694047402</v>
          </cell>
          <cell r="X19">
            <v>29.054370516504992</v>
          </cell>
          <cell r="Y19">
            <v>28.754633499554245</v>
          </cell>
        </row>
        <row r="20">
          <cell r="C20">
            <v>0.95759176252189004</v>
          </cell>
          <cell r="D20">
            <v>0.87654789469255134</v>
          </cell>
          <cell r="H20">
            <v>30.736837387085</v>
          </cell>
          <cell r="I20">
            <v>30.838340648306911</v>
          </cell>
          <cell r="J20">
            <v>30.673597665509977</v>
          </cell>
          <cell r="K20">
            <v>33.503214616434938</v>
          </cell>
          <cell r="V20">
            <v>27.6067714691162</v>
          </cell>
          <cell r="W20">
            <v>27.777006300634348</v>
          </cell>
          <cell r="X20">
            <v>27.470336543658266</v>
          </cell>
          <cell r="Y20">
            <v>30.034441393102966</v>
          </cell>
        </row>
        <row r="21">
          <cell r="C21">
            <v>0.96918857771842826</v>
          </cell>
          <cell r="D21">
            <v>0.88350497774707504</v>
          </cell>
          <cell r="H21">
            <v>28.616357803344702</v>
          </cell>
          <cell r="I21">
            <v>28.785772998121953</v>
          </cell>
          <cell r="J21">
            <v>28.395331605162784</v>
          </cell>
          <cell r="K21">
            <v>33.947000204154442</v>
          </cell>
          <cell r="V21">
            <v>24.835584640502901</v>
          </cell>
          <cell r="W21">
            <v>25.048061842495777</v>
          </cell>
          <cell r="X21">
            <v>24.576139104505842</v>
          </cell>
          <cell r="Y21">
            <v>30.201884001493426</v>
          </cell>
        </row>
        <row r="22">
          <cell r="C22">
            <v>0.9719951989745762</v>
          </cell>
          <cell r="D22">
            <v>0.88663670553002361</v>
          </cell>
          <cell r="H22">
            <v>29.873619079589801</v>
          </cell>
          <cell r="I22">
            <v>30.210042504670007</v>
          </cell>
          <cell r="J22">
            <v>29.410660536741808</v>
          </cell>
          <cell r="K22">
            <v>33.291094882488252</v>
          </cell>
          <cell r="V22">
            <v>25.581251144409201</v>
          </cell>
          <cell r="W22">
            <v>25.976521857643302</v>
          </cell>
          <cell r="X22">
            <v>25.049859419509765</v>
          </cell>
          <cell r="Y22">
            <v>29.25813636745729</v>
          </cell>
        </row>
        <row r="23">
          <cell r="C23">
            <v>0.98037082002349829</v>
          </cell>
          <cell r="D23">
            <v>0.89824779469518945</v>
          </cell>
          <cell r="H23">
            <v>30.101655960083001</v>
          </cell>
          <cell r="I23">
            <v>30.609879503364006</v>
          </cell>
          <cell r="J23">
            <v>29.437807919351858</v>
          </cell>
          <cell r="K23">
            <v>33.064305750301862</v>
          </cell>
          <cell r="V23">
            <v>25.4402256011963</v>
          </cell>
          <cell r="W23">
            <v>26.03919057397064</v>
          </cell>
          <cell r="X23">
            <v>24.679251560322225</v>
          </cell>
          <cell r="Y23">
            <v>29.453238579375405</v>
          </cell>
        </row>
        <row r="24">
          <cell r="C24">
            <v>0.99109454687170861</v>
          </cell>
          <cell r="D24">
            <v>0.91089089023645475</v>
          </cell>
          <cell r="H24">
            <v>30.425390243530298</v>
          </cell>
          <cell r="I24">
            <v>31.047513634733168</v>
          </cell>
          <cell r="J24">
            <v>29.661370998800319</v>
          </cell>
          <cell r="K24">
            <v>32.020861919777751</v>
          </cell>
          <cell r="V24">
            <v>25.470129013061499</v>
          </cell>
          <cell r="W24">
            <v>26.197393477104008</v>
          </cell>
          <cell r="X24">
            <v>24.56207539989629</v>
          </cell>
          <cell r="Y24">
            <v>28.324805222409076</v>
          </cell>
        </row>
        <row r="25">
          <cell r="C25">
            <v>1.0013473919126925</v>
          </cell>
          <cell r="D25">
            <v>0.92526139194699097</v>
          </cell>
          <cell r="H25">
            <v>30.7938537597656</v>
          </cell>
          <cell r="I25">
            <v>31.652594843013112</v>
          </cell>
          <cell r="J25">
            <v>29.850202746210307</v>
          </cell>
          <cell r="K25">
            <v>31.580958484922125</v>
          </cell>
          <cell r="V25">
            <v>25.672283172607401</v>
          </cell>
          <cell r="W25">
            <v>26.646185737411219</v>
          </cell>
          <cell r="X25">
            <v>24.523903392123433</v>
          </cell>
          <cell r="Y25">
            <v>27.936935190643567</v>
          </cell>
        </row>
        <row r="26">
          <cell r="C26">
            <v>1.007801606280857</v>
          </cell>
          <cell r="D26">
            <v>0.93502961258341544</v>
          </cell>
          <cell r="H26">
            <v>30.883028030395501</v>
          </cell>
          <cell r="I26">
            <v>31.875616345873318</v>
          </cell>
          <cell r="J26">
            <v>29.945731815998514</v>
          </cell>
          <cell r="K26">
            <v>31.427461417061942</v>
          </cell>
          <cell r="V26">
            <v>25.763282775878899</v>
          </cell>
          <cell r="W26">
            <v>26.877912290900731</v>
          </cell>
          <cell r="X26">
            <v>24.58195658150191</v>
          </cell>
          <cell r="Y26">
            <v>27.806760465076977</v>
          </cell>
        </row>
        <row r="27">
          <cell r="C27">
            <v>1.0206950273104249</v>
          </cell>
          <cell r="D27">
            <v>0.95053891842948768</v>
          </cell>
          <cell r="H27">
            <v>31.149145126342798</v>
          </cell>
          <cell r="I27">
            <v>32.302577073111358</v>
          </cell>
          <cell r="J27">
            <v>30.238344941859651</v>
          </cell>
          <cell r="K27">
            <v>31.404843315737619</v>
          </cell>
          <cell r="V27">
            <v>26.100669860839801</v>
          </cell>
          <cell r="W27">
            <v>27.405730937648549</v>
          </cell>
          <cell r="X27">
            <v>24.936914393098274</v>
          </cell>
          <cell r="Y27">
            <v>27.737795853614852</v>
          </cell>
        </row>
        <row r="28">
          <cell r="C28">
            <v>1.0320390526943377</v>
          </cell>
          <cell r="D28">
            <v>0.96369696690424789</v>
          </cell>
          <cell r="H28">
            <v>31.4898681640625</v>
          </cell>
          <cell r="I28">
            <v>32.785732202506701</v>
          </cell>
          <cell r="J28">
            <v>30.396325368979269</v>
          </cell>
          <cell r="K28">
            <v>31.396459121022875</v>
          </cell>
          <cell r="V28">
            <v>26.468044281005898</v>
          </cell>
          <cell r="W28">
            <v>27.906654166482056</v>
          </cell>
          <cell r="X28">
            <v>25.129771675266127</v>
          </cell>
          <cell r="Y28">
            <v>27.6572671738693</v>
          </cell>
        </row>
        <row r="29">
          <cell r="C29">
            <v>1.0384349771294545</v>
          </cell>
          <cell r="D29">
            <v>0.97205837157244601</v>
          </cell>
          <cell r="H29">
            <v>31.815629959106399</v>
          </cell>
          <cell r="I29">
            <v>33.319121022662394</v>
          </cell>
          <cell r="J29">
            <v>30.52716409340805</v>
          </cell>
          <cell r="K29">
            <v>31.619495570829923</v>
          </cell>
          <cell r="V29">
            <v>26.885612487793001</v>
          </cell>
          <cell r="W29">
            <v>28.497564192163843</v>
          </cell>
          <cell r="X29">
            <v>25.366077677092758</v>
          </cell>
          <cell r="Y29">
            <v>27.77179166419166</v>
          </cell>
        </row>
        <row r="30">
          <cell r="C30">
            <v>1.036214797022567</v>
          </cell>
          <cell r="D30">
            <v>0.9700267854294502</v>
          </cell>
          <cell r="H30">
            <v>32.020698547363303</v>
          </cell>
          <cell r="I30">
            <v>33.645780810013086</v>
          </cell>
          <cell r="J30">
            <v>30.630065460623005</v>
          </cell>
          <cell r="K30">
            <v>31.841555106980504</v>
          </cell>
          <cell r="V30">
            <v>27.169450759887699</v>
          </cell>
          <cell r="W30">
            <v>28.87920906542718</v>
          </cell>
          <cell r="X30">
            <v>25.540360636095272</v>
          </cell>
          <cell r="Y30">
            <v>27.94493882060052</v>
          </cell>
        </row>
        <row r="31">
          <cell r="C31">
            <v>1.0361105835068414</v>
          </cell>
          <cell r="D31">
            <v>0.97060751055407302</v>
          </cell>
          <cell r="H31">
            <v>32.4303588867188</v>
          </cell>
          <cell r="I31">
            <v>34.010961061930608</v>
          </cell>
          <cell r="J31">
            <v>30.949556573489808</v>
          </cell>
          <cell r="K31">
            <v>31.998369365590008</v>
          </cell>
          <cell r="V31">
            <v>27.620109558105501</v>
          </cell>
          <cell r="W31">
            <v>29.256618756783098</v>
          </cell>
          <cell r="X31">
            <v>25.905750471682929</v>
          </cell>
          <cell r="Y31">
            <v>28.051279206957112</v>
          </cell>
        </row>
        <row r="32">
          <cell r="C32">
            <v>1.035547734472607</v>
          </cell>
          <cell r="D32">
            <v>0.968420880583302</v>
          </cell>
          <cell r="H32">
            <v>32.7907905578613</v>
          </cell>
          <cell r="I32">
            <v>34.364909823212265</v>
          </cell>
          <cell r="J32">
            <v>31.364600240818927</v>
          </cell>
          <cell r="K32">
            <v>32.504283130850148</v>
          </cell>
          <cell r="V32">
            <v>28.002447128295898</v>
          </cell>
          <cell r="W32">
            <v>29.617423410341349</v>
          </cell>
          <cell r="X32">
            <v>26.353074152618081</v>
          </cell>
          <cell r="Y32">
            <v>28.433370147092024</v>
          </cell>
        </row>
        <row r="33">
          <cell r="C33">
            <v>1.0373092790609824</v>
          </cell>
          <cell r="D33">
            <v>0.96975463821947239</v>
          </cell>
          <cell r="H33">
            <v>32.994007110595703</v>
          </cell>
          <cell r="I33">
            <v>34.555165481528114</v>
          </cell>
          <cell r="J33">
            <v>31.569574484832192</v>
          </cell>
          <cell r="K33">
            <v>32.734499307530221</v>
          </cell>
          <cell r="V33">
            <v>28.245407104492202</v>
          </cell>
          <cell r="W33">
            <v>29.869962655363519</v>
          </cell>
          <cell r="X33">
            <v>26.642935480032843</v>
          </cell>
          <cell r="Y33">
            <v>28.564243228605854</v>
          </cell>
        </row>
        <row r="34">
          <cell r="C34">
            <v>1.0487297837185345</v>
          </cell>
          <cell r="D34">
            <v>0.98065431120959001</v>
          </cell>
          <cell r="H34">
            <v>32.923465728759801</v>
          </cell>
          <cell r="I34">
            <v>34.665676528226847</v>
          </cell>
          <cell r="J34">
            <v>31.321390408260484</v>
          </cell>
          <cell r="K34">
            <v>33.071842501844671</v>
          </cell>
          <cell r="V34">
            <v>28.186374664306602</v>
          </cell>
          <cell r="W34">
            <v>30.009764249917112</v>
          </cell>
          <cell r="X34">
            <v>26.432461808567194</v>
          </cell>
          <cell r="Y34">
            <v>28.893141416311291</v>
          </cell>
        </row>
        <row r="35">
          <cell r="C35">
            <v>1.0617365429495345</v>
          </cell>
          <cell r="D35">
            <v>0.99512169890226276</v>
          </cell>
          <cell r="H35">
            <v>32.920154571533203</v>
          </cell>
          <cell r="I35">
            <v>34.794135489654842</v>
          </cell>
          <cell r="J35">
            <v>31.052530682505338</v>
          </cell>
          <cell r="K35">
            <v>33.410560829639458</v>
          </cell>
          <cell r="V35">
            <v>28.203248977661101</v>
          </cell>
          <cell r="W35">
            <v>30.131775036679965</v>
          </cell>
          <cell r="X35">
            <v>26.195508348742145</v>
          </cell>
          <cell r="Y35">
            <v>29.231828357321859</v>
          </cell>
        </row>
        <row r="36">
          <cell r="C36">
            <v>1.0748035731308743</v>
          </cell>
          <cell r="D36">
            <v>1.0079875140487959</v>
          </cell>
          <cell r="H36">
            <v>32.902271270752003</v>
          </cell>
          <cell r="I36">
            <v>34.730030664919298</v>
          </cell>
          <cell r="J36">
            <v>30.9463786790763</v>
          </cell>
          <cell r="K36">
            <v>33.722298293113667</v>
          </cell>
          <cell r="V36">
            <v>28.139711380004901</v>
          </cell>
          <cell r="W36">
            <v>30.004977459512851</v>
          </cell>
          <cell r="X36">
            <v>26.06589504683285</v>
          </cell>
          <cell r="Y36">
            <v>29.474526665721644</v>
          </cell>
        </row>
        <row r="37">
          <cell r="C37">
            <v>1.0855344436475007</v>
          </cell>
          <cell r="D37">
            <v>1.0204554140031217</v>
          </cell>
          <cell r="H37">
            <v>32.958240509033203</v>
          </cell>
          <cell r="I37">
            <v>34.710383301550777</v>
          </cell>
          <cell r="J37">
            <v>30.892701879591705</v>
          </cell>
          <cell r="K37">
            <v>33.992922992706269</v>
          </cell>
          <cell r="V37">
            <v>28.178466796875</v>
          </cell>
          <cell r="W37">
            <v>29.945633933765333</v>
          </cell>
          <cell r="X37">
            <v>26.012140323756867</v>
          </cell>
          <cell r="Y37">
            <v>29.678067999226737</v>
          </cell>
        </row>
        <row r="38">
          <cell r="C38">
            <v>1.0922407336651809</v>
          </cell>
          <cell r="D38">
            <v>1.0277238786647935</v>
          </cell>
          <cell r="H38">
            <v>33.321102142333999</v>
          </cell>
          <cell r="I38">
            <v>35.009555113562811</v>
          </cell>
          <cell r="J38">
            <v>31.104329068205509</v>
          </cell>
          <cell r="K38">
            <v>34.190471412113766</v>
          </cell>
          <cell r="V38">
            <v>28.495182037353501</v>
          </cell>
          <cell r="W38">
            <v>30.202242124282492</v>
          </cell>
          <cell r="X38">
            <v>26.211856861545389</v>
          </cell>
          <cell r="Y38">
            <v>29.837332388673559</v>
          </cell>
        </row>
        <row r="39">
          <cell r="C39">
            <v>1.0989884542667216</v>
          </cell>
          <cell r="D39">
            <v>1.0350441148961127</v>
          </cell>
          <cell r="H39">
            <v>33.734363555908203</v>
          </cell>
          <cell r="I39">
            <v>35.364162520066834</v>
          </cell>
          <cell r="J39">
            <v>31.468461674375952</v>
          </cell>
          <cell r="K39">
            <v>34.556037210396347</v>
          </cell>
          <cell r="V39">
            <v>28.915565490722699</v>
          </cell>
          <cell r="W39">
            <v>30.564243350493669</v>
          </cell>
          <cell r="X39">
            <v>26.620956224982798</v>
          </cell>
          <cell r="Y39">
            <v>30.299989280360073</v>
          </cell>
        </row>
        <row r="40">
          <cell r="C40">
            <v>1.1057778614048592</v>
          </cell>
          <cell r="D40">
            <v>1.0424164914538314</v>
          </cell>
          <cell r="H40">
            <v>34.149539947509801</v>
          </cell>
          <cell r="I40">
            <v>35.686964611996288</v>
          </cell>
          <cell r="J40">
            <v>31.86791739856362</v>
          </cell>
          <cell r="K40">
            <v>34.734482848303621</v>
          </cell>
          <cell r="V40">
            <v>29.289411544799801</v>
          </cell>
          <cell r="W40">
            <v>30.811388037965809</v>
          </cell>
          <cell r="X40">
            <v>27.001852180307704</v>
          </cell>
          <cell r="Y40">
            <v>30.612480026653856</v>
          </cell>
        </row>
        <row r="41">
          <cell r="C41">
            <v>1.1126092126135723</v>
          </cell>
          <cell r="D41">
            <v>1.04984137972127</v>
          </cell>
          <cell r="H41">
            <v>34.490489959716797</v>
          </cell>
          <cell r="I41">
            <v>35.960189347722469</v>
          </cell>
          <cell r="J41">
            <v>32.259145314354448</v>
          </cell>
          <cell r="K41">
            <v>34.145031195368077</v>
          </cell>
          <cell r="V41">
            <v>29.651695251464801</v>
          </cell>
          <cell r="W41">
            <v>31.116921166741697</v>
          </cell>
          <cell r="X41">
            <v>27.4264789673446</v>
          </cell>
          <cell r="Y41">
            <v>30.508377910341551</v>
          </cell>
        </row>
        <row r="42">
          <cell r="C42">
            <v>1.1194827670178507</v>
          </cell>
          <cell r="D42">
            <v>1.0573191537270255</v>
          </cell>
          <cell r="H42">
            <v>34.703567702090908</v>
          </cell>
          <cell r="I42">
            <v>36.16115357307536</v>
          </cell>
          <cell r="J42">
            <v>32.393114000606197</v>
          </cell>
          <cell r="K42">
            <v>34.367463530906775</v>
          </cell>
          <cell r="V42">
            <v>29.862897324712144</v>
          </cell>
          <cell r="W42">
            <v>31.309336793253575</v>
          </cell>
          <cell r="X42">
            <v>27.583377551280989</v>
          </cell>
          <cell r="Y42">
            <v>30.765626409130991</v>
          </cell>
        </row>
        <row r="43">
          <cell r="C43">
            <v>1.1263987853435247</v>
          </cell>
          <cell r="D43">
            <v>1.0648501901638119</v>
          </cell>
          <cell r="H43">
            <v>34.917961810928588</v>
          </cell>
          <cell r="I43">
            <v>36.363240890953747</v>
          </cell>
          <cell r="J43">
            <v>32.527639044093114</v>
          </cell>
          <cell r="K43">
            <v>34.591344866260705</v>
          </cell>
          <cell r="V43">
            <v>30.075603740809555</v>
          </cell>
          <cell r="W43">
            <v>31.502942247419917</v>
          </cell>
          <cell r="X43">
            <v>27.741173704521501</v>
          </cell>
          <cell r="Y43">
            <v>31.025044042914232</v>
          </cell>
        </row>
        <row r="44">
          <cell r="C44">
            <v>1.133357529927155</v>
          </cell>
          <cell r="D44">
            <v>1.0724348684074383</v>
          </cell>
          <cell r="H44">
            <v>35.133680418569938</v>
          </cell>
          <cell r="I44">
            <v>36.566457577782288</v>
          </cell>
          <cell r="J44">
            <v>32.662722755305673</v>
          </cell>
          <cell r="K44">
            <v>34.816684640707031</v>
          </cell>
          <cell r="V44">
            <v>30.289825214838455</v>
          </cell>
          <cell r="W44">
            <v>31.697744886698498</v>
          </cell>
          <cell r="X44">
            <v>27.89987256178842</v>
          </cell>
          <cell r="Y44">
            <v>31.28664910196952</v>
          </cell>
        </row>
        <row r="45">
          <cell r="C45">
            <v>1.1403592647259828</v>
          </cell>
          <cell r="D45">
            <v>1.0800735705359179</v>
          </cell>
          <cell r="H45">
            <v>35.350731707595571</v>
          </cell>
          <cell r="I45">
            <v>36.770809945061572</v>
          </cell>
          <cell r="J45">
            <v>32.798367454329558</v>
          </cell>
          <cell r="K45">
            <v>35.043492355013562</v>
          </cell>
          <cell r="V45">
            <v>30.505572538201271</v>
          </cell>
          <cell r="W45">
            <v>31.893752114042911</v>
          </cell>
          <cell r="X45">
            <v>28.059479287178227</v>
          </cell>
          <cell r="Y45">
            <v>31.55046003079984</v>
          </cell>
        </row>
        <row r="46">
          <cell r="C46">
            <v>1.1474042553279433</v>
          </cell>
          <cell r="D46">
            <v>1.0877666813487161</v>
          </cell>
          <cell r="H46">
            <v>35.569123911137034</v>
          </cell>
          <cell r="I46">
            <v>36.976304339564138</v>
          </cell>
          <cell r="J46">
            <v>32.93457547088552</v>
          </cell>
          <cell r="K46">
            <v>35.271777571839358</v>
          </cell>
          <cell r="V46">
            <v>30.722856579165068</v>
          </cell>
          <cell r="W46">
            <v>32.090971378183902</v>
          </cell>
          <cell r="X46">
            <v>28.219999074329635</v>
          </cell>
          <cell r="Y46">
            <v>31.816495429433349</v>
          </cell>
        </row>
        <row r="47">
          <cell r="C47">
            <v>1.1544927689617381</v>
          </cell>
          <cell r="D47">
            <v>1.0955145883861352</v>
          </cell>
          <cell r="H47">
            <v>35.788865313189071</v>
          </cell>
          <cell r="I47">
            <v>37.182947143531571</v>
          </cell>
          <cell r="J47">
            <v>33.071349144369371</v>
          </cell>
          <cell r="K47">
            <v>35.501549916137876</v>
          </cell>
          <cell r="V47">
            <v>30.941688283409022</v>
          </cell>
          <cell r="W47">
            <v>32.289410173912437</v>
          </cell>
          <cell r="X47">
            <v>28.381437146592589</v>
          </cell>
          <cell r="Y47">
            <v>32.084774054734773</v>
          </cell>
        </row>
        <row r="48">
          <cell r="C48">
            <v>1.1616250745069743</v>
          </cell>
          <cell r="D48">
            <v>1.1033176819488357</v>
          </cell>
          <cell r="H48">
            <v>36.009964248923872</v>
          </cell>
          <cell r="I48">
            <v>37.390744774872758</v>
          </cell>
          <cell r="J48">
            <v>33.208690823892191</v>
          </cell>
          <cell r="K48">
            <v>35.732819075562787</v>
          </cell>
          <cell r="V48">
            <v>31.162078674575817</v>
          </cell>
          <cell r="W48">
            <v>32.489076042364516</v>
          </cell>
          <cell r="X48">
            <v>28.543798757198239</v>
          </cell>
          <cell r="Y48">
            <v>32.355314821727866</v>
          </cell>
        </row>
        <row r="49">
          <cell r="C49">
            <v>1.1688014425043611</v>
          </cell>
          <cell r="D49">
            <v>1.1111763551174985</v>
          </cell>
          <cell r="H49">
            <v>36.232429105007235</v>
          </cell>
          <cell r="I49">
            <v>37.599703687363188</v>
          </cell>
          <cell r="J49">
            <v>33.346602868320652</v>
          </cell>
          <cell r="K49">
            <v>35.965594800876438</v>
          </cell>
          <cell r="V49">
            <v>31.384038854826965</v>
          </cell>
          <cell r="W49">
            <v>32.68997657130776</v>
          </cell>
          <cell r="X49">
            <v>28.70708918942988</v>
          </cell>
          <cell r="Y49">
            <v>32.628136804929007</v>
          </cell>
        </row>
        <row r="50">
          <cell r="C50">
            <v>1.1760221451659731</v>
          </cell>
          <cell r="D50">
            <v>1.1190910037726254</v>
          </cell>
          <cell r="H50">
            <v>36.456268319916674</v>
          </cell>
          <cell r="I50">
            <v>37.809830370845397</v>
          </cell>
          <cell r="J50">
            <v>33.485087646317538</v>
          </cell>
          <cell r="K50">
            <v>36.199886906360959</v>
          </cell>
          <cell r="V50">
            <v>31.607580005402063</v>
          </cell>
          <cell r="W50">
            <v>32.892119395429759</v>
          </cell>
          <cell r="X50">
            <v>28.871313756794869</v>
          </cell>
          <cell r="Y50">
            <v>32.903259239692055</v>
          </cell>
        </row>
        <row r="51">
          <cell r="C51">
            <v>1.1832874563855758</v>
          </cell>
          <cell r="D51">
            <v>1.1270620266144831</v>
          </cell>
          <cell r="H51">
            <v>36.681490384261515</v>
          </cell>
          <cell r="I51">
            <v>38.02113135143054</v>
          </cell>
          <cell r="J51">
            <v>33.624147536382438</v>
          </cell>
          <cell r="K51">
            <v>36.435705270232035</v>
          </cell>
          <cell r="V51">
            <v>31.832713387182061</v>
          </cell>
          <cell r="W51">
            <v>33.095512196628214</v>
          </cell>
          <cell r="X51">
            <v>29.036477803197538</v>
          </cell>
          <cell r="Y51">
            <v>33.180701523564558</v>
          </cell>
        </row>
        <row r="52">
          <cell r="C52">
            <v>1.190597651749014</v>
          </cell>
          <cell r="D52">
            <v>1.1350898251831862</v>
          </cell>
          <cell r="H52">
            <v>36.908103841104975</v>
          </cell>
          <cell r="I52">
            <v>38.233613191701068</v>
          </cell>
          <cell r="J52">
            <v>33.76378492689259</v>
          </cell>
          <cell r="K52">
            <v>36.673059835055412</v>
          </cell>
          <cell r="V52">
            <v>32.059450341256522</v>
          </cell>
          <cell r="W52">
            <v>33.300162704302863</v>
          </cell>
          <cell r="X52">
            <v>29.20258670311307</v>
          </cell>
          <cell r="Y52">
            <v>33.460483217655351</v>
          </cell>
        </row>
        <row r="53">
          <cell r="H53">
            <v>37.136117286288183</v>
          </cell>
          <cell r="I53">
            <v>38.44728249091456</v>
          </cell>
          <cell r="J53">
            <v>33.904002216143887</v>
          </cell>
          <cell r="K53">
            <v>36.91196060816609</v>
          </cell>
          <cell r="V53">
            <v>32.287802289494934</v>
          </cell>
          <cell r="W53">
            <v>33.506078695649215</v>
          </cell>
          <cell r="X53">
            <v>29.369645861762397</v>
          </cell>
          <cell r="Y53">
            <v>33.742624048013731</v>
          </cell>
        </row>
        <row r="54">
          <cell r="H54">
            <v>37.365539368756252</v>
          </cell>
          <cell r="I54">
            <v>38.662145885208666</v>
          </cell>
          <cell r="J54">
            <v>34.044801812392087</v>
          </cell>
          <cell r="K54">
            <v>37.152417662090251</v>
          </cell>
          <cell r="V54">
            <v>32.517780735122074</v>
          </cell>
          <cell r="W54">
            <v>33.713267995954105</v>
          </cell>
          <cell r="X54">
            <v>29.537660715288084</v>
          </cell>
          <cell r="Y54">
            <v>34.027143907020246</v>
          </cell>
        </row>
        <row r="55">
          <cell r="H55">
            <v>37.596378790886362</v>
          </cell>
          <cell r="I55">
            <v>38.878210047807229</v>
          </cell>
          <cell r="J55">
            <v>34.186186133894182</v>
          </cell>
          <cell r="K55">
            <v>37.394441134969931</v>
          </cell>
          <cell r="V55">
            <v>32.74939726329751</v>
          </cell>
          <cell r="W55">
            <v>33.921738478893069</v>
          </cell>
          <cell r="X55">
            <v>29.706636730931223</v>
          </cell>
          <cell r="Y55">
            <v>34.314062854789213</v>
          </cell>
        </row>
        <row r="56">
          <cell r="H56">
            <v>37.828644308817836</v>
          </cell>
          <cell r="I56">
            <v>39.095481689227533</v>
          </cell>
          <cell r="J56">
            <v>34.328157608949901</v>
          </cell>
          <cell r="K56">
            <v>37.63804123099046</v>
          </cell>
          <cell r="V56">
            <v>32.982663541699168</v>
          </cell>
          <cell r="W56">
            <v>34.131498066829572</v>
          </cell>
          <cell r="X56">
            <v>29.876579407209334</v>
          </cell>
          <cell r="Y56">
            <v>34.603401120583044</v>
          </cell>
        </row>
        <row r="71">
          <cell r="C71">
            <v>1.0189488513992222</v>
          </cell>
          <cell r="D71">
            <v>1.0193783883292216</v>
          </cell>
          <cell r="E71">
            <v>1.0189432027602432</v>
          </cell>
          <cell r="F71">
            <v>1.0162272584835417</v>
          </cell>
          <cell r="G71">
            <v>1.0366603623084769</v>
          </cell>
          <cell r="H71">
            <v>1.0374131652588412</v>
          </cell>
          <cell r="I71">
            <v>1.0365552842600536</v>
          </cell>
          <cell r="J71">
            <v>1.0225265094081144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sts (2)"/>
      <sheetName val="Test Data"/>
      <sheetName val="Product Class"/>
      <sheetName val="Application"/>
    </sheetNames>
    <sheetDataSet>
      <sheetData sheetId="0" refreshError="1"/>
      <sheetData sheetId="1">
        <row r="4">
          <cell r="E4">
            <v>61</v>
          </cell>
          <cell r="F4">
            <v>1</v>
          </cell>
          <cell r="AB4">
            <v>0</v>
          </cell>
        </row>
        <row r="5">
          <cell r="E5">
            <v>61</v>
          </cell>
          <cell r="F5">
            <v>1</v>
          </cell>
          <cell r="AB5">
            <v>0</v>
          </cell>
        </row>
        <row r="6">
          <cell r="E6">
            <v>61</v>
          </cell>
          <cell r="F6">
            <v>1</v>
          </cell>
          <cell r="AB6">
            <v>0</v>
          </cell>
        </row>
        <row r="7">
          <cell r="E7">
            <v>61</v>
          </cell>
          <cell r="F7">
            <v>1</v>
          </cell>
          <cell r="AB7">
            <v>0</v>
          </cell>
        </row>
        <row r="8">
          <cell r="E8">
            <v>61</v>
          </cell>
          <cell r="F8">
            <v>1</v>
          </cell>
          <cell r="AB8">
            <v>0</v>
          </cell>
        </row>
        <row r="9">
          <cell r="E9">
            <v>61</v>
          </cell>
          <cell r="F9">
            <v>1</v>
          </cell>
          <cell r="AB9">
            <v>0</v>
          </cell>
        </row>
        <row r="10">
          <cell r="E10">
            <v>61</v>
          </cell>
          <cell r="F10">
            <v>1</v>
          </cell>
          <cell r="AB10">
            <v>0</v>
          </cell>
        </row>
        <row r="11">
          <cell r="E11">
            <v>61</v>
          </cell>
          <cell r="F11">
            <v>1</v>
          </cell>
          <cell r="AB11">
            <v>0</v>
          </cell>
        </row>
        <row r="12">
          <cell r="E12">
            <v>61</v>
          </cell>
          <cell r="F12">
            <v>1</v>
          </cell>
          <cell r="AB12">
            <v>0</v>
          </cell>
        </row>
        <row r="13">
          <cell r="E13">
            <v>27</v>
          </cell>
          <cell r="F13">
            <v>2</v>
          </cell>
          <cell r="AB13">
            <v>1</v>
          </cell>
        </row>
        <row r="14">
          <cell r="E14">
            <v>47</v>
          </cell>
          <cell r="F14">
            <v>2</v>
          </cell>
          <cell r="AB14">
            <v>1</v>
          </cell>
        </row>
        <row r="15">
          <cell r="E15">
            <v>59</v>
          </cell>
          <cell r="F15">
            <v>2</v>
          </cell>
          <cell r="AB15">
            <v>0</v>
          </cell>
        </row>
        <row r="16">
          <cell r="E16">
            <v>32</v>
          </cell>
          <cell r="F16">
            <v>2</v>
          </cell>
          <cell r="AB16">
            <v>0</v>
          </cell>
        </row>
        <row r="17">
          <cell r="E17">
            <v>32</v>
          </cell>
          <cell r="F17">
            <v>2</v>
          </cell>
          <cell r="AB17">
            <v>0</v>
          </cell>
        </row>
        <row r="18">
          <cell r="E18">
            <v>32</v>
          </cell>
          <cell r="F18">
            <v>2</v>
          </cell>
          <cell r="AB18">
            <v>0</v>
          </cell>
        </row>
        <row r="19">
          <cell r="E19">
            <v>32</v>
          </cell>
          <cell r="F19">
            <v>2</v>
          </cell>
          <cell r="AB19">
            <v>0</v>
          </cell>
        </row>
        <row r="20">
          <cell r="E20">
            <v>32</v>
          </cell>
          <cell r="F20">
            <v>2</v>
          </cell>
          <cell r="AB20">
            <v>0</v>
          </cell>
        </row>
        <row r="21">
          <cell r="E21">
            <v>33</v>
          </cell>
          <cell r="F21">
            <v>2</v>
          </cell>
          <cell r="AB21">
            <v>0</v>
          </cell>
        </row>
        <row r="22">
          <cell r="E22">
            <v>33</v>
          </cell>
          <cell r="F22">
            <v>2</v>
          </cell>
          <cell r="AB22">
            <v>0</v>
          </cell>
        </row>
        <row r="23">
          <cell r="E23">
            <v>33</v>
          </cell>
          <cell r="F23">
            <v>2</v>
          </cell>
          <cell r="AB23">
            <v>0</v>
          </cell>
        </row>
        <row r="24">
          <cell r="E24">
            <v>33</v>
          </cell>
          <cell r="F24">
            <v>2</v>
          </cell>
          <cell r="AB24">
            <v>0</v>
          </cell>
        </row>
        <row r="25">
          <cell r="E25">
            <v>33</v>
          </cell>
          <cell r="F25">
            <v>2</v>
          </cell>
          <cell r="AB25">
            <v>0</v>
          </cell>
        </row>
        <row r="26">
          <cell r="E26">
            <v>33</v>
          </cell>
          <cell r="F26">
            <v>2</v>
          </cell>
          <cell r="AB26">
            <v>0</v>
          </cell>
        </row>
        <row r="27">
          <cell r="E27">
            <v>33</v>
          </cell>
          <cell r="F27">
            <v>2</v>
          </cell>
          <cell r="AB27">
            <v>0</v>
          </cell>
        </row>
        <row r="28">
          <cell r="E28">
            <v>33</v>
          </cell>
          <cell r="F28">
            <v>2</v>
          </cell>
          <cell r="AB28">
            <v>0</v>
          </cell>
        </row>
        <row r="29">
          <cell r="E29">
            <v>33</v>
          </cell>
          <cell r="F29">
            <v>2</v>
          </cell>
          <cell r="AB29">
            <v>0</v>
          </cell>
        </row>
        <row r="30">
          <cell r="E30">
            <v>33</v>
          </cell>
          <cell r="F30">
            <v>2</v>
          </cell>
          <cell r="AB30">
            <v>0</v>
          </cell>
        </row>
        <row r="31">
          <cell r="E31">
            <v>33</v>
          </cell>
          <cell r="F31">
            <v>2</v>
          </cell>
          <cell r="AB31">
            <v>0</v>
          </cell>
        </row>
        <row r="32">
          <cell r="E32">
            <v>33</v>
          </cell>
          <cell r="F32">
            <v>2</v>
          </cell>
          <cell r="AB32">
            <v>0</v>
          </cell>
        </row>
        <row r="33">
          <cell r="E33">
            <v>33</v>
          </cell>
          <cell r="F33">
            <v>2</v>
          </cell>
          <cell r="AB33">
            <v>0</v>
          </cell>
        </row>
        <row r="34">
          <cell r="E34">
            <v>33</v>
          </cell>
          <cell r="F34">
            <v>2</v>
          </cell>
          <cell r="AB34">
            <v>0</v>
          </cell>
        </row>
        <row r="35">
          <cell r="E35">
            <v>33</v>
          </cell>
          <cell r="F35">
            <v>2</v>
          </cell>
          <cell r="AB35">
            <v>0</v>
          </cell>
        </row>
        <row r="36">
          <cell r="E36">
            <v>33</v>
          </cell>
          <cell r="F36">
            <v>2</v>
          </cell>
          <cell r="AB36">
            <v>0</v>
          </cell>
        </row>
        <row r="37">
          <cell r="E37">
            <v>33</v>
          </cell>
          <cell r="F37">
            <v>2</v>
          </cell>
          <cell r="AB37">
            <v>0</v>
          </cell>
        </row>
        <row r="38">
          <cell r="E38">
            <v>33</v>
          </cell>
          <cell r="F38">
            <v>2</v>
          </cell>
          <cell r="AB38">
            <v>1</v>
          </cell>
        </row>
        <row r="39">
          <cell r="E39">
            <v>50</v>
          </cell>
          <cell r="F39">
            <v>2</v>
          </cell>
          <cell r="AB39">
            <v>1</v>
          </cell>
        </row>
        <row r="40">
          <cell r="E40">
            <v>50</v>
          </cell>
          <cell r="F40">
            <v>2</v>
          </cell>
          <cell r="AB40">
            <v>1</v>
          </cell>
        </row>
        <row r="41">
          <cell r="E41">
            <v>50</v>
          </cell>
          <cell r="F41">
            <v>2</v>
          </cell>
          <cell r="AB41">
            <v>1</v>
          </cell>
        </row>
        <row r="42">
          <cell r="E42">
            <v>65</v>
          </cell>
          <cell r="F42">
            <v>2</v>
          </cell>
          <cell r="AB42">
            <v>1</v>
          </cell>
        </row>
        <row r="43">
          <cell r="E43">
            <v>65</v>
          </cell>
          <cell r="F43">
            <v>2</v>
          </cell>
          <cell r="AB43">
            <v>1</v>
          </cell>
        </row>
        <row r="44">
          <cell r="E44">
            <v>65</v>
          </cell>
          <cell r="F44">
            <v>2</v>
          </cell>
          <cell r="AB44">
            <v>1</v>
          </cell>
        </row>
        <row r="45">
          <cell r="E45">
            <v>65</v>
          </cell>
          <cell r="F45">
            <v>2</v>
          </cell>
          <cell r="AB45">
            <v>1</v>
          </cell>
        </row>
        <row r="46">
          <cell r="E46" t="str">
            <v>-</v>
          </cell>
          <cell r="F46">
            <v>2</v>
          </cell>
          <cell r="AB46">
            <v>1</v>
          </cell>
        </row>
        <row r="47">
          <cell r="E47">
            <v>29</v>
          </cell>
          <cell r="F47">
            <v>2</v>
          </cell>
          <cell r="AB47">
            <v>1</v>
          </cell>
        </row>
        <row r="48">
          <cell r="E48">
            <v>29</v>
          </cell>
          <cell r="F48">
            <v>2</v>
          </cell>
          <cell r="AB48">
            <v>1</v>
          </cell>
        </row>
        <row r="49">
          <cell r="E49">
            <v>29</v>
          </cell>
          <cell r="F49">
            <v>2</v>
          </cell>
          <cell r="AB49">
            <v>1</v>
          </cell>
        </row>
        <row r="50">
          <cell r="E50">
            <v>29</v>
          </cell>
          <cell r="F50">
            <v>2</v>
          </cell>
          <cell r="AB50">
            <v>1</v>
          </cell>
        </row>
        <row r="51">
          <cell r="E51">
            <v>29</v>
          </cell>
          <cell r="F51">
            <v>2</v>
          </cell>
          <cell r="AB51">
            <v>1</v>
          </cell>
        </row>
        <row r="52">
          <cell r="E52">
            <v>29</v>
          </cell>
          <cell r="F52">
            <v>2</v>
          </cell>
          <cell r="AB52">
            <v>0</v>
          </cell>
        </row>
        <row r="53">
          <cell r="E53">
            <v>29</v>
          </cell>
          <cell r="F53">
            <v>2</v>
          </cell>
          <cell r="AB53">
            <v>1</v>
          </cell>
        </row>
        <row r="54">
          <cell r="E54">
            <v>29</v>
          </cell>
          <cell r="F54">
            <v>2</v>
          </cell>
          <cell r="AB54">
            <v>0</v>
          </cell>
        </row>
        <row r="55">
          <cell r="E55">
            <v>29</v>
          </cell>
          <cell r="F55">
            <v>2</v>
          </cell>
          <cell r="AB55">
            <v>1</v>
          </cell>
        </row>
        <row r="56">
          <cell r="E56">
            <v>29</v>
          </cell>
          <cell r="F56">
            <v>2</v>
          </cell>
          <cell r="AB56">
            <v>0</v>
          </cell>
        </row>
        <row r="57">
          <cell r="E57">
            <v>29</v>
          </cell>
          <cell r="F57">
            <v>2</v>
          </cell>
          <cell r="AB57">
            <v>0</v>
          </cell>
        </row>
        <row r="58">
          <cell r="E58" t="str">
            <v>-</v>
          </cell>
          <cell r="F58">
            <v>2</v>
          </cell>
          <cell r="AB58">
            <v>1</v>
          </cell>
        </row>
        <row r="59">
          <cell r="E59" t="str">
            <v>-</v>
          </cell>
          <cell r="F59">
            <v>2</v>
          </cell>
          <cell r="AB59">
            <v>0</v>
          </cell>
        </row>
        <row r="60">
          <cell r="E60">
            <v>38</v>
          </cell>
          <cell r="F60">
            <v>2</v>
          </cell>
          <cell r="AB60">
            <v>1</v>
          </cell>
        </row>
        <row r="61">
          <cell r="E61">
            <v>38</v>
          </cell>
          <cell r="F61">
            <v>2</v>
          </cell>
          <cell r="AB61">
            <v>1</v>
          </cell>
        </row>
        <row r="62">
          <cell r="E62">
            <v>37</v>
          </cell>
          <cell r="F62">
            <v>2</v>
          </cell>
          <cell r="AB62">
            <v>0</v>
          </cell>
        </row>
        <row r="63">
          <cell r="E63">
            <v>57</v>
          </cell>
          <cell r="F63">
            <v>2</v>
          </cell>
          <cell r="AB63">
            <v>0</v>
          </cell>
        </row>
        <row r="64">
          <cell r="E64">
            <v>57</v>
          </cell>
          <cell r="F64">
            <v>2</v>
          </cell>
          <cell r="AB64">
            <v>0</v>
          </cell>
        </row>
        <row r="65">
          <cell r="E65">
            <v>58</v>
          </cell>
          <cell r="F65">
            <v>2</v>
          </cell>
          <cell r="AB65">
            <v>1</v>
          </cell>
        </row>
        <row r="66">
          <cell r="E66">
            <v>58</v>
          </cell>
          <cell r="F66">
            <v>2</v>
          </cell>
          <cell r="AB66">
            <v>0</v>
          </cell>
        </row>
        <row r="67">
          <cell r="E67">
            <v>58</v>
          </cell>
          <cell r="F67">
            <v>2</v>
          </cell>
          <cell r="AB67">
            <v>0</v>
          </cell>
        </row>
        <row r="68">
          <cell r="E68">
            <v>58</v>
          </cell>
          <cell r="F68">
            <v>2</v>
          </cell>
          <cell r="AB68">
            <v>0</v>
          </cell>
        </row>
        <row r="69">
          <cell r="E69">
            <v>58</v>
          </cell>
          <cell r="F69">
            <v>2</v>
          </cell>
          <cell r="AB69">
            <v>0</v>
          </cell>
        </row>
        <row r="70">
          <cell r="E70">
            <v>58</v>
          </cell>
          <cell r="F70">
            <v>2</v>
          </cell>
          <cell r="AB70">
            <v>0</v>
          </cell>
        </row>
        <row r="71">
          <cell r="E71">
            <v>58</v>
          </cell>
          <cell r="F71">
            <v>2</v>
          </cell>
          <cell r="AB71">
            <v>0</v>
          </cell>
        </row>
        <row r="72">
          <cell r="E72">
            <v>58</v>
          </cell>
          <cell r="F72">
            <v>2</v>
          </cell>
          <cell r="AB72">
            <v>0</v>
          </cell>
        </row>
        <row r="73">
          <cell r="E73">
            <v>58</v>
          </cell>
          <cell r="F73">
            <v>2</v>
          </cell>
          <cell r="AB73">
            <v>0</v>
          </cell>
        </row>
        <row r="74">
          <cell r="E74">
            <v>58</v>
          </cell>
          <cell r="F74">
            <v>2</v>
          </cell>
          <cell r="AB74">
            <v>0</v>
          </cell>
        </row>
        <row r="75">
          <cell r="E75">
            <v>58</v>
          </cell>
          <cell r="F75">
            <v>2</v>
          </cell>
          <cell r="AB75">
            <v>0</v>
          </cell>
        </row>
        <row r="76">
          <cell r="E76">
            <v>58</v>
          </cell>
          <cell r="F76">
            <v>2</v>
          </cell>
          <cell r="AB76">
            <v>1</v>
          </cell>
        </row>
        <row r="77">
          <cell r="E77">
            <v>58</v>
          </cell>
          <cell r="F77">
            <v>2</v>
          </cell>
          <cell r="AB77">
            <v>0</v>
          </cell>
        </row>
        <row r="78">
          <cell r="E78">
            <v>58</v>
          </cell>
          <cell r="F78">
            <v>2</v>
          </cell>
          <cell r="AB78">
            <v>0</v>
          </cell>
        </row>
        <row r="79">
          <cell r="E79">
            <v>58</v>
          </cell>
          <cell r="F79">
            <v>2</v>
          </cell>
          <cell r="AB79">
            <v>0</v>
          </cell>
        </row>
        <row r="80">
          <cell r="E80">
            <v>58</v>
          </cell>
          <cell r="F80">
            <v>2</v>
          </cell>
          <cell r="AB80">
            <v>1</v>
          </cell>
        </row>
        <row r="81">
          <cell r="E81">
            <v>28</v>
          </cell>
          <cell r="F81">
            <v>3</v>
          </cell>
          <cell r="AB81">
            <v>0</v>
          </cell>
        </row>
        <row r="82">
          <cell r="E82">
            <v>28</v>
          </cell>
          <cell r="F82">
            <v>3</v>
          </cell>
          <cell r="AB82">
            <v>0</v>
          </cell>
        </row>
        <row r="83">
          <cell r="E83">
            <v>28</v>
          </cell>
          <cell r="F83">
            <v>3</v>
          </cell>
          <cell r="AB83">
            <v>0</v>
          </cell>
        </row>
        <row r="84">
          <cell r="E84">
            <v>28</v>
          </cell>
          <cell r="F84">
            <v>3</v>
          </cell>
          <cell r="AB84">
            <v>0</v>
          </cell>
        </row>
        <row r="85">
          <cell r="E85">
            <v>49</v>
          </cell>
          <cell r="F85">
            <v>3</v>
          </cell>
          <cell r="AB85">
            <v>1</v>
          </cell>
        </row>
        <row r="86">
          <cell r="E86">
            <v>49</v>
          </cell>
          <cell r="F86">
            <v>3</v>
          </cell>
          <cell r="AB86">
            <v>1</v>
          </cell>
        </row>
        <row r="87">
          <cell r="E87">
            <v>50</v>
          </cell>
          <cell r="F87">
            <v>3</v>
          </cell>
          <cell r="AB87">
            <v>1</v>
          </cell>
        </row>
        <row r="88">
          <cell r="E88">
            <v>50</v>
          </cell>
          <cell r="F88">
            <v>3</v>
          </cell>
          <cell r="AB88">
            <v>0</v>
          </cell>
        </row>
        <row r="89">
          <cell r="E89">
            <v>71</v>
          </cell>
          <cell r="F89">
            <v>3</v>
          </cell>
          <cell r="AB89">
            <v>0</v>
          </cell>
        </row>
        <row r="90">
          <cell r="E90">
            <v>71</v>
          </cell>
          <cell r="F90">
            <v>3</v>
          </cell>
          <cell r="AB90">
            <v>0</v>
          </cell>
        </row>
        <row r="91">
          <cell r="E91">
            <v>71</v>
          </cell>
          <cell r="F91">
            <v>3</v>
          </cell>
          <cell r="AB91">
            <v>0</v>
          </cell>
        </row>
        <row r="92">
          <cell r="E92">
            <v>71</v>
          </cell>
          <cell r="F92">
            <v>3</v>
          </cell>
          <cell r="AB92">
            <v>0</v>
          </cell>
        </row>
        <row r="93">
          <cell r="E93">
            <v>71</v>
          </cell>
          <cell r="F93">
            <v>3</v>
          </cell>
          <cell r="AB93">
            <v>0</v>
          </cell>
        </row>
        <row r="94">
          <cell r="E94">
            <v>71</v>
          </cell>
          <cell r="F94">
            <v>3</v>
          </cell>
          <cell r="AB94">
            <v>1</v>
          </cell>
        </row>
        <row r="95">
          <cell r="E95">
            <v>71</v>
          </cell>
          <cell r="F95">
            <v>3</v>
          </cell>
          <cell r="AB95">
            <v>0</v>
          </cell>
        </row>
        <row r="96">
          <cell r="E96">
            <v>71</v>
          </cell>
          <cell r="F96">
            <v>3</v>
          </cell>
          <cell r="AB96">
            <v>0</v>
          </cell>
        </row>
        <row r="97">
          <cell r="E97">
            <v>71</v>
          </cell>
          <cell r="F97">
            <v>3</v>
          </cell>
          <cell r="AB97">
            <v>1</v>
          </cell>
        </row>
        <row r="98">
          <cell r="E98">
            <v>71</v>
          </cell>
          <cell r="F98">
            <v>3</v>
          </cell>
          <cell r="AB98">
            <v>0</v>
          </cell>
        </row>
        <row r="99">
          <cell r="E99">
            <v>71</v>
          </cell>
          <cell r="F99">
            <v>3</v>
          </cell>
          <cell r="AB99">
            <v>0</v>
          </cell>
        </row>
        <row r="100">
          <cell r="E100">
            <v>71</v>
          </cell>
          <cell r="F100">
            <v>3</v>
          </cell>
          <cell r="AB100">
            <v>0</v>
          </cell>
        </row>
        <row r="101">
          <cell r="E101">
            <v>70</v>
          </cell>
          <cell r="F101">
            <v>3</v>
          </cell>
          <cell r="AB101">
            <v>0</v>
          </cell>
        </row>
        <row r="102">
          <cell r="E102">
            <v>70</v>
          </cell>
          <cell r="F102">
            <v>3</v>
          </cell>
          <cell r="AB102">
            <v>0</v>
          </cell>
        </row>
        <row r="103">
          <cell r="E103">
            <v>70</v>
          </cell>
          <cell r="F103">
            <v>3</v>
          </cell>
          <cell r="AB103">
            <v>0</v>
          </cell>
        </row>
        <row r="104">
          <cell r="E104">
            <v>70</v>
          </cell>
          <cell r="F104">
            <v>3</v>
          </cell>
          <cell r="AB104">
            <v>1</v>
          </cell>
        </row>
        <row r="105">
          <cell r="E105">
            <v>52</v>
          </cell>
          <cell r="F105">
            <v>3</v>
          </cell>
          <cell r="AB105">
            <v>1</v>
          </cell>
        </row>
        <row r="106">
          <cell r="E106">
            <v>52</v>
          </cell>
          <cell r="F106">
            <v>3</v>
          </cell>
          <cell r="AB106">
            <v>1</v>
          </cell>
        </row>
        <row r="107">
          <cell r="E107">
            <v>52</v>
          </cell>
          <cell r="F107">
            <v>3</v>
          </cell>
          <cell r="AB107">
            <v>0</v>
          </cell>
        </row>
        <row r="108">
          <cell r="E108">
            <v>52</v>
          </cell>
          <cell r="F108">
            <v>3</v>
          </cell>
          <cell r="AB108">
            <v>0</v>
          </cell>
        </row>
        <row r="109">
          <cell r="E109">
            <v>52</v>
          </cell>
          <cell r="F109">
            <v>3</v>
          </cell>
          <cell r="AB109">
            <v>0</v>
          </cell>
        </row>
        <row r="110">
          <cell r="E110">
            <v>52</v>
          </cell>
          <cell r="F110">
            <v>3</v>
          </cell>
          <cell r="AB110">
            <v>0</v>
          </cell>
        </row>
        <row r="111">
          <cell r="E111">
            <v>57</v>
          </cell>
          <cell r="F111">
            <v>3</v>
          </cell>
          <cell r="AB111">
            <v>0</v>
          </cell>
        </row>
        <row r="112">
          <cell r="E112">
            <v>76</v>
          </cell>
          <cell r="F112">
            <v>3</v>
          </cell>
          <cell r="AB112">
            <v>0</v>
          </cell>
        </row>
        <row r="113">
          <cell r="E113">
            <v>58</v>
          </cell>
          <cell r="F113">
            <v>3</v>
          </cell>
          <cell r="AB113">
            <v>0</v>
          </cell>
        </row>
        <row r="114">
          <cell r="E114">
            <v>40</v>
          </cell>
          <cell r="F114">
            <v>4</v>
          </cell>
          <cell r="AB114">
            <v>0</v>
          </cell>
        </row>
        <row r="115">
          <cell r="E115">
            <v>40</v>
          </cell>
          <cell r="F115">
            <v>4</v>
          </cell>
          <cell r="AB115">
            <v>1</v>
          </cell>
        </row>
        <row r="116">
          <cell r="E116">
            <v>40</v>
          </cell>
          <cell r="F116">
            <v>4</v>
          </cell>
          <cell r="AB116">
            <v>0</v>
          </cell>
        </row>
        <row r="117">
          <cell r="E117">
            <v>40</v>
          </cell>
          <cell r="F117">
            <v>4</v>
          </cell>
          <cell r="AB117">
            <v>1</v>
          </cell>
        </row>
        <row r="118">
          <cell r="E118">
            <v>40</v>
          </cell>
          <cell r="F118">
            <v>4</v>
          </cell>
          <cell r="AB118">
            <v>0</v>
          </cell>
        </row>
        <row r="119">
          <cell r="E119">
            <v>40</v>
          </cell>
          <cell r="F119">
            <v>4</v>
          </cell>
          <cell r="AB119">
            <v>1</v>
          </cell>
        </row>
        <row r="120">
          <cell r="E120">
            <v>59</v>
          </cell>
          <cell r="F120">
            <v>4</v>
          </cell>
          <cell r="AB120">
            <v>1</v>
          </cell>
        </row>
        <row r="121">
          <cell r="E121">
            <v>72</v>
          </cell>
          <cell r="F121">
            <v>4</v>
          </cell>
          <cell r="AB121">
            <v>0</v>
          </cell>
        </row>
        <row r="122">
          <cell r="E122">
            <v>71</v>
          </cell>
          <cell r="F122">
            <v>4</v>
          </cell>
          <cell r="AB122">
            <v>0</v>
          </cell>
        </row>
        <row r="123">
          <cell r="E123">
            <v>72</v>
          </cell>
          <cell r="F123">
            <v>4</v>
          </cell>
          <cell r="AB123">
            <v>0</v>
          </cell>
        </row>
        <row r="124">
          <cell r="E124">
            <v>72</v>
          </cell>
          <cell r="F124">
            <v>4</v>
          </cell>
          <cell r="AB124">
            <v>0</v>
          </cell>
        </row>
        <row r="125">
          <cell r="E125">
            <v>72</v>
          </cell>
          <cell r="F125">
            <v>4</v>
          </cell>
          <cell r="AB125">
            <v>0</v>
          </cell>
        </row>
        <row r="126">
          <cell r="E126">
            <v>71</v>
          </cell>
          <cell r="F126">
            <v>4</v>
          </cell>
          <cell r="AB126">
            <v>1</v>
          </cell>
        </row>
        <row r="127">
          <cell r="E127">
            <v>71</v>
          </cell>
          <cell r="F127">
            <v>4</v>
          </cell>
          <cell r="AB127">
            <v>0</v>
          </cell>
        </row>
        <row r="128">
          <cell r="E128">
            <v>71</v>
          </cell>
          <cell r="F128">
            <v>4</v>
          </cell>
          <cell r="AB128">
            <v>0</v>
          </cell>
        </row>
        <row r="129">
          <cell r="E129">
            <v>71</v>
          </cell>
          <cell r="F129">
            <v>4</v>
          </cell>
          <cell r="AB129">
            <v>0</v>
          </cell>
        </row>
        <row r="130">
          <cell r="E130">
            <v>71</v>
          </cell>
          <cell r="F130">
            <v>4</v>
          </cell>
          <cell r="AB130">
            <v>0</v>
          </cell>
        </row>
        <row r="131">
          <cell r="E131">
            <v>71</v>
          </cell>
          <cell r="F131">
            <v>4</v>
          </cell>
          <cell r="AB131">
            <v>1</v>
          </cell>
        </row>
        <row r="132">
          <cell r="E132">
            <v>72</v>
          </cell>
          <cell r="F132">
            <v>4</v>
          </cell>
          <cell r="AB132">
            <v>0</v>
          </cell>
        </row>
        <row r="133">
          <cell r="E133">
            <v>72</v>
          </cell>
          <cell r="F133">
            <v>4</v>
          </cell>
          <cell r="AB133">
            <v>1</v>
          </cell>
        </row>
        <row r="134">
          <cell r="E134">
            <v>72</v>
          </cell>
          <cell r="F134">
            <v>4</v>
          </cell>
          <cell r="AB134">
            <v>1</v>
          </cell>
        </row>
        <row r="135">
          <cell r="E135">
            <v>72</v>
          </cell>
          <cell r="F135">
            <v>4</v>
          </cell>
          <cell r="AB135">
            <v>1</v>
          </cell>
        </row>
        <row r="136">
          <cell r="E136">
            <v>72</v>
          </cell>
          <cell r="F136">
            <v>4</v>
          </cell>
          <cell r="AB136">
            <v>0</v>
          </cell>
        </row>
        <row r="137">
          <cell r="E137">
            <v>72</v>
          </cell>
          <cell r="F137">
            <v>4</v>
          </cell>
          <cell r="AB137">
            <v>0</v>
          </cell>
        </row>
        <row r="138">
          <cell r="E138">
            <v>71</v>
          </cell>
          <cell r="F138">
            <v>4</v>
          </cell>
          <cell r="AB138">
            <v>0</v>
          </cell>
        </row>
        <row r="139">
          <cell r="E139">
            <v>71</v>
          </cell>
          <cell r="F139">
            <v>4</v>
          </cell>
          <cell r="AB139">
            <v>0</v>
          </cell>
        </row>
        <row r="140">
          <cell r="E140">
            <v>71</v>
          </cell>
          <cell r="F140">
            <v>4</v>
          </cell>
          <cell r="AB140">
            <v>0</v>
          </cell>
        </row>
        <row r="141">
          <cell r="E141">
            <v>71</v>
          </cell>
          <cell r="F141">
            <v>4</v>
          </cell>
          <cell r="AB141">
            <v>0</v>
          </cell>
        </row>
        <row r="142">
          <cell r="E142">
            <v>71</v>
          </cell>
          <cell r="F142">
            <v>4</v>
          </cell>
          <cell r="AB142">
            <v>1</v>
          </cell>
        </row>
        <row r="143">
          <cell r="E143">
            <v>71</v>
          </cell>
          <cell r="F143">
            <v>4</v>
          </cell>
          <cell r="AB143">
            <v>0</v>
          </cell>
        </row>
        <row r="144">
          <cell r="E144">
            <v>71</v>
          </cell>
          <cell r="F144">
            <v>4</v>
          </cell>
          <cell r="AB144">
            <v>0</v>
          </cell>
        </row>
        <row r="145">
          <cell r="E145">
            <v>72</v>
          </cell>
          <cell r="F145">
            <v>4</v>
          </cell>
          <cell r="AB145">
            <v>0</v>
          </cell>
        </row>
        <row r="146">
          <cell r="E146">
            <v>72</v>
          </cell>
          <cell r="F146">
            <v>4</v>
          </cell>
          <cell r="AB146">
            <v>0</v>
          </cell>
        </row>
        <row r="147">
          <cell r="E147">
            <v>72</v>
          </cell>
          <cell r="F147">
            <v>4</v>
          </cell>
          <cell r="AB147">
            <v>1</v>
          </cell>
        </row>
        <row r="148">
          <cell r="E148">
            <v>72</v>
          </cell>
          <cell r="F148">
            <v>4</v>
          </cell>
          <cell r="AB148">
            <v>1</v>
          </cell>
        </row>
        <row r="149">
          <cell r="E149">
            <v>72</v>
          </cell>
          <cell r="F149">
            <v>4</v>
          </cell>
          <cell r="AB149">
            <v>1</v>
          </cell>
        </row>
        <row r="150">
          <cell r="E150">
            <v>72</v>
          </cell>
          <cell r="F150">
            <v>4</v>
          </cell>
          <cell r="AB150">
            <v>1</v>
          </cell>
        </row>
        <row r="151">
          <cell r="E151">
            <v>72</v>
          </cell>
          <cell r="F151">
            <v>4</v>
          </cell>
          <cell r="AB151">
            <v>1</v>
          </cell>
        </row>
        <row r="152">
          <cell r="E152">
            <v>72</v>
          </cell>
          <cell r="F152">
            <v>4</v>
          </cell>
          <cell r="AB152">
            <v>1</v>
          </cell>
        </row>
        <row r="153">
          <cell r="E153">
            <v>72</v>
          </cell>
          <cell r="F153">
            <v>4</v>
          </cell>
          <cell r="AB153">
            <v>1</v>
          </cell>
        </row>
        <row r="154">
          <cell r="E154">
            <v>70</v>
          </cell>
          <cell r="F154">
            <v>4</v>
          </cell>
          <cell r="AB154">
            <v>0</v>
          </cell>
        </row>
        <row r="155">
          <cell r="E155">
            <v>12</v>
          </cell>
          <cell r="F155">
            <v>4</v>
          </cell>
          <cell r="AB155">
            <v>1</v>
          </cell>
        </row>
        <row r="156">
          <cell r="E156">
            <v>12</v>
          </cell>
          <cell r="F156">
            <v>4</v>
          </cell>
          <cell r="AB156">
            <v>1</v>
          </cell>
        </row>
        <row r="157">
          <cell r="E157">
            <v>12</v>
          </cell>
          <cell r="F157">
            <v>4</v>
          </cell>
          <cell r="AB157">
            <v>1</v>
          </cell>
        </row>
        <row r="158">
          <cell r="E158">
            <v>12</v>
          </cell>
          <cell r="F158">
            <v>4</v>
          </cell>
          <cell r="AB158">
            <v>1</v>
          </cell>
        </row>
        <row r="159">
          <cell r="E159">
            <v>12</v>
          </cell>
          <cell r="F159">
            <v>4</v>
          </cell>
          <cell r="AB159">
            <v>1</v>
          </cell>
        </row>
        <row r="160">
          <cell r="E160">
            <v>12</v>
          </cell>
          <cell r="F160">
            <v>4</v>
          </cell>
          <cell r="AB160">
            <v>1</v>
          </cell>
        </row>
        <row r="161">
          <cell r="E161">
            <v>12</v>
          </cell>
          <cell r="F161">
            <v>4</v>
          </cell>
          <cell r="AB161">
            <v>0</v>
          </cell>
        </row>
        <row r="162">
          <cell r="E162">
            <v>12</v>
          </cell>
          <cell r="F162">
            <v>4</v>
          </cell>
          <cell r="AB162">
            <v>1</v>
          </cell>
        </row>
        <row r="163">
          <cell r="E163">
            <v>77</v>
          </cell>
          <cell r="F163">
            <v>5</v>
          </cell>
          <cell r="AB163">
            <v>0</v>
          </cell>
        </row>
        <row r="164">
          <cell r="E164">
            <v>77</v>
          </cell>
          <cell r="F164">
            <v>5</v>
          </cell>
          <cell r="AB164">
            <v>0</v>
          </cell>
        </row>
        <row r="165">
          <cell r="E165">
            <v>77</v>
          </cell>
          <cell r="F165">
            <v>5</v>
          </cell>
          <cell r="AB165">
            <v>0</v>
          </cell>
        </row>
        <row r="166">
          <cell r="E166">
            <v>77</v>
          </cell>
          <cell r="F166">
            <v>5</v>
          </cell>
          <cell r="AB166">
            <v>0</v>
          </cell>
        </row>
        <row r="167">
          <cell r="E167">
            <v>77</v>
          </cell>
          <cell r="F167">
            <v>5</v>
          </cell>
          <cell r="AB167">
            <v>0</v>
          </cell>
        </row>
        <row r="168">
          <cell r="E168">
            <v>77</v>
          </cell>
          <cell r="F168">
            <v>5</v>
          </cell>
          <cell r="AB168">
            <v>0</v>
          </cell>
        </row>
        <row r="169">
          <cell r="E169">
            <v>79</v>
          </cell>
          <cell r="F169">
            <v>5</v>
          </cell>
          <cell r="AB169">
            <v>0</v>
          </cell>
        </row>
        <row r="170">
          <cell r="E170">
            <v>79</v>
          </cell>
          <cell r="F170">
            <v>5</v>
          </cell>
          <cell r="AB170">
            <v>0</v>
          </cell>
        </row>
        <row r="171">
          <cell r="E171">
            <v>79</v>
          </cell>
          <cell r="F171">
            <v>5</v>
          </cell>
          <cell r="AB171">
            <v>0</v>
          </cell>
        </row>
        <row r="172">
          <cell r="E172">
            <v>79</v>
          </cell>
          <cell r="F172">
            <v>5</v>
          </cell>
          <cell r="AB172">
            <v>0</v>
          </cell>
        </row>
        <row r="173">
          <cell r="E173">
            <v>79</v>
          </cell>
          <cell r="F173">
            <v>5</v>
          </cell>
          <cell r="AB173">
            <v>0</v>
          </cell>
        </row>
        <row r="174">
          <cell r="E174">
            <v>79</v>
          </cell>
          <cell r="F174">
            <v>5</v>
          </cell>
          <cell r="AB174">
            <v>0</v>
          </cell>
        </row>
        <row r="175">
          <cell r="E175">
            <v>79</v>
          </cell>
          <cell r="F175">
            <v>5</v>
          </cell>
          <cell r="AB175">
            <v>0</v>
          </cell>
        </row>
        <row r="176">
          <cell r="E176">
            <v>79</v>
          </cell>
          <cell r="F176">
            <v>5</v>
          </cell>
          <cell r="AB176">
            <v>0</v>
          </cell>
        </row>
        <row r="177">
          <cell r="E177">
            <v>79</v>
          </cell>
          <cell r="F177">
            <v>5</v>
          </cell>
          <cell r="AB177">
            <v>0</v>
          </cell>
        </row>
        <row r="178">
          <cell r="E178">
            <v>79</v>
          </cell>
          <cell r="F178">
            <v>5</v>
          </cell>
          <cell r="AB178">
            <v>0</v>
          </cell>
        </row>
        <row r="179">
          <cell r="E179">
            <v>79</v>
          </cell>
          <cell r="F179">
            <v>5</v>
          </cell>
          <cell r="AB179">
            <v>0</v>
          </cell>
        </row>
        <row r="180">
          <cell r="E180">
            <v>79</v>
          </cell>
          <cell r="F180">
            <v>5</v>
          </cell>
          <cell r="AB180">
            <v>0</v>
          </cell>
        </row>
        <row r="181">
          <cell r="E181">
            <v>79</v>
          </cell>
          <cell r="F181">
            <v>5</v>
          </cell>
          <cell r="AB181">
            <v>0</v>
          </cell>
        </row>
        <row r="182">
          <cell r="E182">
            <v>79</v>
          </cell>
          <cell r="F182">
            <v>5</v>
          </cell>
          <cell r="AB182">
            <v>0</v>
          </cell>
        </row>
        <row r="183">
          <cell r="E183">
            <v>79</v>
          </cell>
          <cell r="F183">
            <v>5</v>
          </cell>
          <cell r="AB183">
            <v>0</v>
          </cell>
        </row>
        <row r="184">
          <cell r="E184">
            <v>79</v>
          </cell>
          <cell r="F184">
            <v>5</v>
          </cell>
          <cell r="AB184">
            <v>0</v>
          </cell>
        </row>
        <row r="185">
          <cell r="E185">
            <v>79</v>
          </cell>
          <cell r="F185">
            <v>5</v>
          </cell>
          <cell r="AB185">
            <v>0</v>
          </cell>
        </row>
        <row r="186">
          <cell r="E186">
            <v>79</v>
          </cell>
          <cell r="F186">
            <v>5</v>
          </cell>
          <cell r="AB186">
            <v>0</v>
          </cell>
        </row>
        <row r="187">
          <cell r="E187">
            <v>79</v>
          </cell>
          <cell r="F187">
            <v>5</v>
          </cell>
          <cell r="AB187">
            <v>0</v>
          </cell>
        </row>
        <row r="188">
          <cell r="E188">
            <v>79</v>
          </cell>
          <cell r="F188">
            <v>5</v>
          </cell>
          <cell r="AB188">
            <v>0</v>
          </cell>
        </row>
        <row r="189">
          <cell r="E189">
            <v>58</v>
          </cell>
          <cell r="F189">
            <v>5</v>
          </cell>
          <cell r="AB189">
            <v>0</v>
          </cell>
        </row>
        <row r="190">
          <cell r="E190">
            <v>60</v>
          </cell>
          <cell r="F190">
            <v>6</v>
          </cell>
          <cell r="AB190">
            <v>0</v>
          </cell>
        </row>
        <row r="191">
          <cell r="E191">
            <v>60</v>
          </cell>
          <cell r="F191">
            <v>6</v>
          </cell>
          <cell r="AB191">
            <v>0</v>
          </cell>
        </row>
        <row r="192">
          <cell r="E192">
            <v>60</v>
          </cell>
          <cell r="F192">
            <v>6</v>
          </cell>
          <cell r="AB192">
            <v>0</v>
          </cell>
        </row>
        <row r="193">
          <cell r="E193">
            <v>60</v>
          </cell>
          <cell r="F193">
            <v>6</v>
          </cell>
          <cell r="AB193">
            <v>0</v>
          </cell>
        </row>
        <row r="194">
          <cell r="E194">
            <v>60</v>
          </cell>
          <cell r="F194">
            <v>6</v>
          </cell>
          <cell r="AB194">
            <v>0</v>
          </cell>
        </row>
        <row r="195">
          <cell r="E195">
            <v>60</v>
          </cell>
          <cell r="F195">
            <v>6</v>
          </cell>
          <cell r="AB195">
            <v>0</v>
          </cell>
        </row>
        <row r="196">
          <cell r="E196">
            <v>60</v>
          </cell>
          <cell r="F196">
            <v>6</v>
          </cell>
          <cell r="AB196">
            <v>0</v>
          </cell>
        </row>
        <row r="197">
          <cell r="E197">
            <v>60</v>
          </cell>
          <cell r="F197">
            <v>6</v>
          </cell>
          <cell r="AB197">
            <v>0</v>
          </cell>
        </row>
        <row r="198">
          <cell r="E198">
            <v>60</v>
          </cell>
          <cell r="F198">
            <v>6</v>
          </cell>
          <cell r="AB198">
            <v>0</v>
          </cell>
        </row>
        <row r="199">
          <cell r="E199">
            <v>75</v>
          </cell>
          <cell r="F199">
            <v>7</v>
          </cell>
          <cell r="AB199">
            <v>0</v>
          </cell>
        </row>
        <row r="200">
          <cell r="E200">
            <v>75</v>
          </cell>
          <cell r="F200">
            <v>7</v>
          </cell>
          <cell r="AB200">
            <v>0</v>
          </cell>
        </row>
        <row r="201">
          <cell r="E201" t="str">
            <v>-</v>
          </cell>
          <cell r="F201">
            <v>8</v>
          </cell>
          <cell r="AB201">
            <v>0</v>
          </cell>
        </row>
        <row r="202">
          <cell r="E202">
            <v>9</v>
          </cell>
          <cell r="F202">
            <v>8</v>
          </cell>
          <cell r="AB202">
            <v>0</v>
          </cell>
        </row>
        <row r="203">
          <cell r="E203">
            <v>9</v>
          </cell>
          <cell r="F203">
            <v>8</v>
          </cell>
          <cell r="AB203">
            <v>0</v>
          </cell>
        </row>
        <row r="204">
          <cell r="E204">
            <v>9</v>
          </cell>
          <cell r="F204">
            <v>8</v>
          </cell>
          <cell r="AB204">
            <v>0</v>
          </cell>
        </row>
        <row r="205">
          <cell r="E205">
            <v>9</v>
          </cell>
          <cell r="F205">
            <v>8</v>
          </cell>
          <cell r="AB205">
            <v>0</v>
          </cell>
        </row>
        <row r="206">
          <cell r="E206">
            <v>9</v>
          </cell>
          <cell r="F206">
            <v>8</v>
          </cell>
          <cell r="AB206">
            <v>0</v>
          </cell>
        </row>
        <row r="207">
          <cell r="E207">
            <v>9</v>
          </cell>
          <cell r="F207">
            <v>8</v>
          </cell>
          <cell r="AB207">
            <v>0</v>
          </cell>
        </row>
        <row r="208">
          <cell r="E208">
            <v>9</v>
          </cell>
          <cell r="F208">
            <v>8</v>
          </cell>
          <cell r="AB208">
            <v>0</v>
          </cell>
        </row>
        <row r="209">
          <cell r="E209">
            <v>9</v>
          </cell>
          <cell r="F209">
            <v>8</v>
          </cell>
          <cell r="AB209">
            <v>0</v>
          </cell>
        </row>
        <row r="210">
          <cell r="E210">
            <v>9</v>
          </cell>
          <cell r="F210">
            <v>8</v>
          </cell>
          <cell r="AB210">
            <v>0</v>
          </cell>
        </row>
        <row r="211">
          <cell r="E211">
            <v>9</v>
          </cell>
          <cell r="F211">
            <v>8</v>
          </cell>
          <cell r="AB211">
            <v>0</v>
          </cell>
        </row>
        <row r="212">
          <cell r="E212">
            <v>22</v>
          </cell>
          <cell r="F212">
            <v>9</v>
          </cell>
          <cell r="AB212">
            <v>0</v>
          </cell>
        </row>
        <row r="213">
          <cell r="E213">
            <v>25</v>
          </cell>
          <cell r="F213">
            <v>9</v>
          </cell>
          <cell r="AB213">
            <v>0</v>
          </cell>
        </row>
        <row r="214">
          <cell r="E214">
            <v>25</v>
          </cell>
          <cell r="F214">
            <v>9</v>
          </cell>
          <cell r="AB214">
            <v>0</v>
          </cell>
        </row>
        <row r="215">
          <cell r="E215">
            <v>25</v>
          </cell>
          <cell r="F215">
            <v>9</v>
          </cell>
          <cell r="AB215">
            <v>0</v>
          </cell>
        </row>
        <row r="216">
          <cell r="E216">
            <v>25</v>
          </cell>
          <cell r="F216">
            <v>9</v>
          </cell>
          <cell r="AB216">
            <v>0</v>
          </cell>
        </row>
        <row r="217">
          <cell r="E217" t="str">
            <v>-</v>
          </cell>
          <cell r="F217">
            <v>9</v>
          </cell>
          <cell r="AB217">
            <v>0</v>
          </cell>
        </row>
        <row r="218">
          <cell r="E218">
            <v>16</v>
          </cell>
          <cell r="F218">
            <v>10</v>
          </cell>
          <cell r="AB218">
            <v>0</v>
          </cell>
        </row>
        <row r="219">
          <cell r="E219">
            <v>16</v>
          </cell>
          <cell r="F219">
            <v>10</v>
          </cell>
          <cell r="AB219">
            <v>0</v>
          </cell>
        </row>
        <row r="220">
          <cell r="E220">
            <v>16</v>
          </cell>
          <cell r="F220">
            <v>10</v>
          </cell>
          <cell r="AB220">
            <v>0</v>
          </cell>
        </row>
        <row r="221">
          <cell r="E221">
            <v>16</v>
          </cell>
          <cell r="F221">
            <v>10</v>
          </cell>
          <cell r="AB221">
            <v>0</v>
          </cell>
        </row>
        <row r="222">
          <cell r="E222">
            <v>16</v>
          </cell>
          <cell r="F222">
            <v>10</v>
          </cell>
          <cell r="AB222">
            <v>0</v>
          </cell>
        </row>
        <row r="223">
          <cell r="E223">
            <v>16</v>
          </cell>
          <cell r="F223">
            <v>10</v>
          </cell>
          <cell r="AB223">
            <v>0</v>
          </cell>
        </row>
        <row r="224">
          <cell r="E224">
            <v>16</v>
          </cell>
          <cell r="F224">
            <v>10</v>
          </cell>
          <cell r="AB224">
            <v>0</v>
          </cell>
        </row>
        <row r="225">
          <cell r="E225">
            <v>16</v>
          </cell>
          <cell r="F225">
            <v>10</v>
          </cell>
          <cell r="AB225">
            <v>0</v>
          </cell>
        </row>
        <row r="226">
          <cell r="E226">
            <v>16</v>
          </cell>
          <cell r="F226">
            <v>10</v>
          </cell>
          <cell r="AB226">
            <v>0</v>
          </cell>
        </row>
        <row r="227">
          <cell r="E227">
            <v>16</v>
          </cell>
          <cell r="F227">
            <v>10</v>
          </cell>
          <cell r="AB227">
            <v>0</v>
          </cell>
        </row>
      </sheetData>
      <sheetData sheetId="2" refreshError="1"/>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
      <sheetName val="Usage and Loading Summary"/>
      <sheetName val="Usage and Loading"/>
      <sheetName val="Generic App Usage Profiles"/>
      <sheetName val="Generic App Loading Points"/>
      <sheetName val="Ecos to D&amp;R Header Conversion"/>
      <sheetName val="Survey Summary"/>
      <sheetName val="Shipments Summary"/>
    </sheetNames>
    <sheetDataSet>
      <sheetData sheetId="0">
        <row r="77">
          <cell r="A77" t="str">
            <v>A</v>
          </cell>
        </row>
        <row r="78">
          <cell r="A78" t="str">
            <v>B</v>
          </cell>
        </row>
        <row r="79">
          <cell r="A79" t="str">
            <v>C</v>
          </cell>
        </row>
      </sheetData>
      <sheetData sheetId="1"/>
      <sheetData sheetId="2">
        <row r="2">
          <cell r="V2" t="str">
            <v>State 1</v>
          </cell>
          <cell r="W2" t="str">
            <v>State 2</v>
          </cell>
          <cell r="X2" t="str">
            <v>State 3</v>
          </cell>
          <cell r="Y2" t="str">
            <v>State 4</v>
          </cell>
          <cell r="Z2" t="str">
            <v>State 5</v>
          </cell>
          <cell r="AA2" t="str">
            <v>State 6</v>
          </cell>
          <cell r="AB2" t="str">
            <v>No Power/Unplugged State</v>
          </cell>
        </row>
      </sheetData>
      <sheetData sheetId="3">
        <row r="3">
          <cell r="B3" t="str">
            <v>State 1</v>
          </cell>
          <cell r="C3" t="str">
            <v>State 2</v>
          </cell>
          <cell r="D3" t="str">
            <v>State 3</v>
          </cell>
          <cell r="E3" t="str">
            <v>State 4</v>
          </cell>
          <cell r="F3" t="str">
            <v>State 5</v>
          </cell>
          <cell r="G3" t="str">
            <v>State 6</v>
          </cell>
          <cell r="H3" t="str">
            <v>No Power/Unplugged State</v>
          </cell>
          <cell r="I3" t="str">
            <v>Total = 168</v>
          </cell>
          <cell r="J3" t="str">
            <v>Source</v>
          </cell>
        </row>
        <row r="4">
          <cell r="A4" t="str">
            <v>Product</v>
          </cell>
          <cell r="B4" t="str">
            <v>[h/wk]</v>
          </cell>
          <cell r="C4" t="str">
            <v>[h/wk]</v>
          </cell>
          <cell r="D4" t="str">
            <v>[h/wk]</v>
          </cell>
          <cell r="E4" t="str">
            <v>[h/wk]</v>
          </cell>
          <cell r="F4" t="str">
            <v>[h/wk]</v>
          </cell>
          <cell r="G4" t="str">
            <v>[h/wk]</v>
          </cell>
          <cell r="H4" t="str">
            <v>[h/wk]</v>
          </cell>
          <cell r="I4" t="str">
            <v>[h/wk]</v>
          </cell>
          <cell r="J4">
            <v>0</v>
          </cell>
        </row>
        <row r="5">
          <cell r="A5" t="str">
            <v>Generic: Continuous Use Appliance</v>
          </cell>
          <cell r="B5">
            <v>60</v>
          </cell>
          <cell r="C5">
            <v>20</v>
          </cell>
          <cell r="D5">
            <v>88</v>
          </cell>
          <cell r="E5">
            <v>0</v>
          </cell>
          <cell r="F5">
            <v>0</v>
          </cell>
          <cell r="G5">
            <v>0</v>
          </cell>
          <cell r="H5">
            <v>0</v>
          </cell>
          <cell r="I5">
            <v>168</v>
          </cell>
          <cell r="J5" t="str">
            <v>NCI Assumption - based on ECOS CA Plug Load Report data</v>
          </cell>
        </row>
        <row r="6">
          <cell r="A6" t="str">
            <v>Generic: Continuous Use Appliance, often unplugged/conscientious user</v>
          </cell>
          <cell r="B6">
            <v>60</v>
          </cell>
          <cell r="C6">
            <v>20</v>
          </cell>
          <cell r="D6">
            <v>78</v>
          </cell>
          <cell r="E6">
            <v>0</v>
          </cell>
          <cell r="F6">
            <v>0</v>
          </cell>
          <cell r="G6">
            <v>0</v>
          </cell>
          <cell r="H6">
            <v>10</v>
          </cell>
          <cell r="I6">
            <v>168</v>
          </cell>
          <cell r="J6" t="str">
            <v>NCI Assumption - based on ECOS CA Plug Load Report data</v>
          </cell>
        </row>
        <row r="7">
          <cell r="A7" t="str">
            <v>Generic: Infrequent Use Appliance</v>
          </cell>
          <cell r="B7">
            <v>10</v>
          </cell>
          <cell r="C7">
            <v>0</v>
          </cell>
          <cell r="D7">
            <v>158</v>
          </cell>
          <cell r="E7">
            <v>0</v>
          </cell>
          <cell r="F7">
            <v>0</v>
          </cell>
          <cell r="G7">
            <v>0</v>
          </cell>
          <cell r="H7">
            <v>0</v>
          </cell>
          <cell r="I7">
            <v>168</v>
          </cell>
          <cell r="J7" t="str">
            <v>NCI Assumption - based on ECOS CA Plug Load Report data</v>
          </cell>
        </row>
        <row r="8">
          <cell r="A8" t="str">
            <v>Generic: Infrequent Use Appliance, often unplugged/conscientious user</v>
          </cell>
          <cell r="B8">
            <v>10</v>
          </cell>
          <cell r="C8">
            <v>0</v>
          </cell>
          <cell r="D8">
            <v>128</v>
          </cell>
          <cell r="E8">
            <v>0</v>
          </cell>
          <cell r="F8">
            <v>0</v>
          </cell>
          <cell r="G8">
            <v>0</v>
          </cell>
          <cell r="H8">
            <v>30</v>
          </cell>
          <cell r="I8">
            <v>168</v>
          </cell>
          <cell r="J8" t="str">
            <v>NCI Assumption - based on ECOS CA Plug Load Report data</v>
          </cell>
        </row>
        <row r="9">
          <cell r="A9" t="str">
            <v>Custom</v>
          </cell>
          <cell r="B9" t="str">
            <v>N/A</v>
          </cell>
          <cell r="C9" t="str">
            <v>N/A</v>
          </cell>
          <cell r="D9" t="str">
            <v>N/A</v>
          </cell>
          <cell r="E9" t="str">
            <v>N/A</v>
          </cell>
          <cell r="F9" t="str">
            <v>N/A</v>
          </cell>
          <cell r="G9" t="str">
            <v>N/A</v>
          </cell>
          <cell r="H9" t="str">
            <v>N/A</v>
          </cell>
          <cell r="I9" t="str">
            <v>-</v>
          </cell>
          <cell r="J9" t="str">
            <v>This name feeds into the drop-down list on the Usage and Loading sheet. Do not enter data here.</v>
          </cell>
        </row>
        <row r="10">
          <cell r="A10" t="str">
            <v>DOD Method</v>
          </cell>
          <cell r="B10" t="str">
            <v>N/A</v>
          </cell>
          <cell r="C10" t="str">
            <v>N/A</v>
          </cell>
          <cell r="D10" t="str">
            <v>N/A</v>
          </cell>
          <cell r="E10" t="str">
            <v>N/A</v>
          </cell>
          <cell r="F10" t="str">
            <v>N/A</v>
          </cell>
          <cell r="G10" t="str">
            <v>N/A</v>
          </cell>
          <cell r="H10" t="str">
            <v>N/A</v>
          </cell>
          <cell r="I10" t="str">
            <v>-</v>
          </cell>
          <cell r="J10" t="str">
            <v>This name feeds into the drop-down list on the Usage and Loading sheet. Do not enter data here.</v>
          </cell>
        </row>
        <row r="11">
          <cell r="A11" t="str">
            <v>Air Matress Pumps</v>
          </cell>
          <cell r="B11" t="str">
            <v>-</v>
          </cell>
          <cell r="C11" t="str">
            <v>-</v>
          </cell>
          <cell r="D11" t="str">
            <v>-</v>
          </cell>
          <cell r="E11">
            <v>0</v>
          </cell>
          <cell r="F11">
            <v>0</v>
          </cell>
          <cell r="G11">
            <v>0</v>
          </cell>
          <cell r="H11" t="str">
            <v>-</v>
          </cell>
          <cell r="I11" t="str">
            <v>-</v>
          </cell>
          <cell r="J11">
            <v>0</v>
          </cell>
        </row>
        <row r="12">
          <cell r="A12" t="str">
            <v>Amplifiers (Pre-Amps)</v>
          </cell>
          <cell r="B12">
            <v>62.16</v>
          </cell>
          <cell r="C12">
            <v>0</v>
          </cell>
          <cell r="D12">
            <v>105.84</v>
          </cell>
          <cell r="E12">
            <v>0</v>
          </cell>
          <cell r="F12">
            <v>0</v>
          </cell>
          <cell r="G12">
            <v>0</v>
          </cell>
          <cell r="H12">
            <v>0</v>
          </cell>
          <cell r="I12">
            <v>168</v>
          </cell>
          <cell r="J12" t="str">
            <v>ECOS Consulting. Final Field Research Report: CA Plug Loads.October,  2006.</v>
          </cell>
        </row>
        <row r="13">
          <cell r="A13" t="str">
            <v>Aquarium air pumps/lights</v>
          </cell>
          <cell r="B13" t="str">
            <v>-</v>
          </cell>
          <cell r="C13" t="str">
            <v>-</v>
          </cell>
          <cell r="D13" t="str">
            <v>-</v>
          </cell>
          <cell r="E13">
            <v>0</v>
          </cell>
          <cell r="F13">
            <v>0</v>
          </cell>
          <cell r="G13">
            <v>0</v>
          </cell>
          <cell r="H13" t="str">
            <v>-</v>
          </cell>
          <cell r="I13" t="str">
            <v>-</v>
          </cell>
          <cell r="J13">
            <v>0</v>
          </cell>
        </row>
        <row r="14">
          <cell r="A14" t="str">
            <v>Baby monitors</v>
          </cell>
          <cell r="B14" t="str">
            <v>-</v>
          </cell>
          <cell r="C14" t="str">
            <v>-</v>
          </cell>
          <cell r="D14" t="str">
            <v>-</v>
          </cell>
          <cell r="E14">
            <v>0</v>
          </cell>
          <cell r="F14">
            <v>0</v>
          </cell>
          <cell r="G14">
            <v>0</v>
          </cell>
          <cell r="H14" t="str">
            <v>-</v>
          </cell>
          <cell r="I14" t="str">
            <v>-</v>
          </cell>
          <cell r="J14">
            <v>0</v>
          </cell>
        </row>
        <row r="15">
          <cell r="A15" t="str">
            <v>Bluetooth headsets</v>
          </cell>
          <cell r="B15" t="str">
            <v>-</v>
          </cell>
          <cell r="C15" t="str">
            <v>-</v>
          </cell>
          <cell r="D15" t="str">
            <v>-</v>
          </cell>
          <cell r="E15">
            <v>0</v>
          </cell>
          <cell r="F15">
            <v>0</v>
          </cell>
          <cell r="G15">
            <v>0</v>
          </cell>
          <cell r="H15" t="str">
            <v>-</v>
          </cell>
          <cell r="I15" t="str">
            <v>-</v>
          </cell>
          <cell r="J15">
            <v>0</v>
          </cell>
        </row>
        <row r="16">
          <cell r="A16" t="str">
            <v>Caller ID devices</v>
          </cell>
          <cell r="B16" t="str">
            <v>-</v>
          </cell>
          <cell r="C16" t="str">
            <v>-</v>
          </cell>
          <cell r="D16" t="str">
            <v>-</v>
          </cell>
          <cell r="E16">
            <v>0</v>
          </cell>
          <cell r="F16">
            <v>0</v>
          </cell>
          <cell r="G16">
            <v>0</v>
          </cell>
          <cell r="H16" t="str">
            <v>-</v>
          </cell>
          <cell r="I16" t="str">
            <v>-</v>
          </cell>
          <cell r="J16">
            <v>0</v>
          </cell>
        </row>
        <row r="17">
          <cell r="A17" t="str">
            <v>Clock radios/other media</v>
          </cell>
          <cell r="B17">
            <v>99.11999999999999</v>
          </cell>
          <cell r="C17">
            <v>0</v>
          </cell>
          <cell r="D17">
            <v>68.88</v>
          </cell>
          <cell r="E17">
            <v>0</v>
          </cell>
          <cell r="F17">
            <v>0</v>
          </cell>
          <cell r="G17">
            <v>0</v>
          </cell>
          <cell r="H17">
            <v>0</v>
          </cell>
          <cell r="I17">
            <v>168</v>
          </cell>
          <cell r="J17" t="str">
            <v>ECOS Consulting. Final Field Research Report: CA Plug Loads.October,  2006.</v>
          </cell>
        </row>
        <row r="18">
          <cell r="A18" t="str">
            <v>Computer speakers</v>
          </cell>
          <cell r="B18">
            <v>36.96</v>
          </cell>
          <cell r="C18">
            <v>0</v>
          </cell>
          <cell r="D18">
            <v>131.04</v>
          </cell>
          <cell r="E18">
            <v>0</v>
          </cell>
          <cell r="F18">
            <v>0</v>
          </cell>
          <cell r="G18">
            <v>0</v>
          </cell>
          <cell r="H18">
            <v>0</v>
          </cell>
          <cell r="I18">
            <v>168</v>
          </cell>
          <cell r="J18" t="str">
            <v>ECOS Consulting. Final Field Research Report: CA Plug Loads.October,  2006.</v>
          </cell>
        </row>
        <row r="19">
          <cell r="A19" t="str">
            <v>Consumer Two-Way Radios</v>
          </cell>
          <cell r="B19" t="str">
            <v>-</v>
          </cell>
          <cell r="C19" t="str">
            <v>-</v>
          </cell>
          <cell r="D19" t="str">
            <v>-</v>
          </cell>
          <cell r="E19">
            <v>0</v>
          </cell>
          <cell r="F19">
            <v>0</v>
          </cell>
          <cell r="G19">
            <v>0</v>
          </cell>
          <cell r="H19" t="str">
            <v>-</v>
          </cell>
          <cell r="I19" t="str">
            <v>-</v>
          </cell>
          <cell r="J19">
            <v>0</v>
          </cell>
        </row>
        <row r="20">
          <cell r="A20" t="str">
            <v>Cordless massagers</v>
          </cell>
          <cell r="B20" t="str">
            <v>-</v>
          </cell>
          <cell r="C20" t="str">
            <v>-</v>
          </cell>
          <cell r="D20" t="str">
            <v>-</v>
          </cell>
          <cell r="E20">
            <v>0</v>
          </cell>
          <cell r="F20">
            <v>0</v>
          </cell>
          <cell r="G20">
            <v>0</v>
          </cell>
          <cell r="H20" t="str">
            <v>-</v>
          </cell>
          <cell r="I20" t="str">
            <v>-</v>
          </cell>
          <cell r="J20">
            <v>0</v>
          </cell>
        </row>
        <row r="21">
          <cell r="A21" t="str">
            <v>Cordless Phone/Answering Device</v>
          </cell>
          <cell r="B21">
            <v>15.12</v>
          </cell>
          <cell r="C21">
            <v>52.08</v>
          </cell>
          <cell r="D21">
            <v>100.8</v>
          </cell>
          <cell r="E21">
            <v>0</v>
          </cell>
          <cell r="F21">
            <v>0</v>
          </cell>
          <cell r="G21">
            <v>0</v>
          </cell>
          <cell r="H21">
            <v>0</v>
          </cell>
          <cell r="I21">
            <v>168</v>
          </cell>
          <cell r="J21" t="str">
            <v>ECOS Consulting. Final Field Research Report: CA Plug Loads.October,  2006.</v>
          </cell>
        </row>
        <row r="22">
          <cell r="A22" t="str">
            <v>Cordless phones</v>
          </cell>
          <cell r="B22">
            <v>68.88</v>
          </cell>
          <cell r="C22">
            <v>28.560000000000002</v>
          </cell>
          <cell r="D22">
            <v>70.56</v>
          </cell>
          <cell r="E22">
            <v>0</v>
          </cell>
          <cell r="F22">
            <v>0</v>
          </cell>
          <cell r="G22">
            <v>0</v>
          </cell>
          <cell r="H22">
            <v>0</v>
          </cell>
          <cell r="I22">
            <v>168</v>
          </cell>
          <cell r="J22" t="str">
            <v>ECOS Consulting. Final Field Research Report: CA Plug Loads.October,  2006.</v>
          </cell>
        </row>
        <row r="23">
          <cell r="A23" t="str">
            <v>Cordless rechargeable beard and mustache trimmers</v>
          </cell>
          <cell r="B23" t="str">
            <v>-</v>
          </cell>
          <cell r="C23" t="str">
            <v>-</v>
          </cell>
          <cell r="D23" t="str">
            <v>-</v>
          </cell>
          <cell r="E23">
            <v>0</v>
          </cell>
          <cell r="F23">
            <v>0</v>
          </cell>
          <cell r="G23">
            <v>0</v>
          </cell>
          <cell r="H23" t="str">
            <v>-</v>
          </cell>
          <cell r="I23" t="str">
            <v>-</v>
          </cell>
          <cell r="J23">
            <v>0</v>
          </cell>
        </row>
        <row r="24">
          <cell r="A24" t="str">
            <v>Cordless rechargeable blenders</v>
          </cell>
          <cell r="B24" t="str">
            <v>-</v>
          </cell>
          <cell r="C24" t="str">
            <v>-</v>
          </cell>
          <cell r="D24" t="str">
            <v>-</v>
          </cell>
          <cell r="E24">
            <v>0</v>
          </cell>
          <cell r="F24">
            <v>0</v>
          </cell>
          <cell r="G24">
            <v>0</v>
          </cell>
          <cell r="H24" t="str">
            <v>-</v>
          </cell>
          <cell r="I24" t="str">
            <v>-</v>
          </cell>
          <cell r="J24">
            <v>0</v>
          </cell>
        </row>
        <row r="25">
          <cell r="A25" t="str">
            <v>Cordless rechargeable can openers</v>
          </cell>
          <cell r="B25" t="str">
            <v>-</v>
          </cell>
          <cell r="C25" t="str">
            <v>-</v>
          </cell>
          <cell r="D25" t="str">
            <v>-</v>
          </cell>
          <cell r="E25">
            <v>0</v>
          </cell>
          <cell r="F25">
            <v>0</v>
          </cell>
          <cell r="G25">
            <v>0</v>
          </cell>
          <cell r="H25" t="str">
            <v>-</v>
          </cell>
          <cell r="I25" t="str">
            <v>-</v>
          </cell>
          <cell r="J25">
            <v>0</v>
          </cell>
        </row>
        <row r="26">
          <cell r="A26" t="str">
            <v>Cordless rechargeable electric knives</v>
          </cell>
          <cell r="B26" t="str">
            <v>-</v>
          </cell>
          <cell r="C26" t="str">
            <v>-</v>
          </cell>
          <cell r="D26" t="str">
            <v>-</v>
          </cell>
          <cell r="E26">
            <v>0</v>
          </cell>
          <cell r="F26">
            <v>0</v>
          </cell>
          <cell r="G26">
            <v>0</v>
          </cell>
          <cell r="H26" t="str">
            <v>-</v>
          </cell>
          <cell r="I26" t="str">
            <v>-</v>
          </cell>
          <cell r="J26">
            <v>0</v>
          </cell>
        </row>
        <row r="27">
          <cell r="A27" t="str">
            <v>Cordless rechargeable hair clippers</v>
          </cell>
          <cell r="B27" t="str">
            <v>-</v>
          </cell>
          <cell r="C27" t="str">
            <v>-</v>
          </cell>
          <cell r="D27" t="str">
            <v>-</v>
          </cell>
          <cell r="E27">
            <v>0</v>
          </cell>
          <cell r="F27">
            <v>0</v>
          </cell>
          <cell r="G27">
            <v>0</v>
          </cell>
          <cell r="H27" t="str">
            <v>-</v>
          </cell>
          <cell r="I27" t="str">
            <v>-</v>
          </cell>
          <cell r="J27">
            <v>0</v>
          </cell>
        </row>
        <row r="28">
          <cell r="A28" t="str">
            <v>Cordless rechargeable handheld vacuums</v>
          </cell>
          <cell r="B28" t="str">
            <v>-</v>
          </cell>
          <cell r="C28" t="str">
            <v>-</v>
          </cell>
          <cell r="D28" t="str">
            <v>-</v>
          </cell>
          <cell r="E28">
            <v>0</v>
          </cell>
          <cell r="F28">
            <v>0</v>
          </cell>
          <cell r="G28">
            <v>0</v>
          </cell>
          <cell r="H28" t="str">
            <v>-</v>
          </cell>
          <cell r="I28" t="str">
            <v>-</v>
          </cell>
          <cell r="J28">
            <v>0</v>
          </cell>
        </row>
        <row r="29">
          <cell r="A29" t="str">
            <v>Cordless rechargeable hedge trimmers</v>
          </cell>
          <cell r="B29" t="str">
            <v>-</v>
          </cell>
          <cell r="C29" t="str">
            <v>-</v>
          </cell>
          <cell r="D29" t="str">
            <v>-</v>
          </cell>
          <cell r="E29">
            <v>0</v>
          </cell>
          <cell r="F29">
            <v>0</v>
          </cell>
          <cell r="G29">
            <v>0</v>
          </cell>
          <cell r="H29" t="str">
            <v>-</v>
          </cell>
          <cell r="I29" t="str">
            <v>-</v>
          </cell>
          <cell r="J29">
            <v>0</v>
          </cell>
        </row>
        <row r="30">
          <cell r="A30" t="str">
            <v>Cordless rechargeable mixers</v>
          </cell>
          <cell r="B30" t="str">
            <v>-</v>
          </cell>
          <cell r="C30" t="str">
            <v>-</v>
          </cell>
          <cell r="D30" t="str">
            <v>-</v>
          </cell>
          <cell r="E30">
            <v>0</v>
          </cell>
          <cell r="F30">
            <v>0</v>
          </cell>
          <cell r="G30">
            <v>0</v>
          </cell>
          <cell r="H30" t="str">
            <v>-</v>
          </cell>
          <cell r="I30" t="str">
            <v>-</v>
          </cell>
          <cell r="J30">
            <v>0</v>
          </cell>
        </row>
        <row r="31">
          <cell r="A31" t="str">
            <v>Cordless rechargeable robotic vacuums</v>
          </cell>
          <cell r="B31" t="str">
            <v>-</v>
          </cell>
          <cell r="C31" t="str">
            <v>-</v>
          </cell>
          <cell r="D31" t="str">
            <v>-</v>
          </cell>
          <cell r="E31">
            <v>0</v>
          </cell>
          <cell r="F31">
            <v>0</v>
          </cell>
          <cell r="G31">
            <v>0</v>
          </cell>
          <cell r="H31" t="str">
            <v>-</v>
          </cell>
          <cell r="I31" t="str">
            <v>-</v>
          </cell>
          <cell r="J31">
            <v>0</v>
          </cell>
        </row>
        <row r="32">
          <cell r="A32" t="str">
            <v>Cordless rechargeable shavers</v>
          </cell>
          <cell r="B32">
            <v>23.520000000000003</v>
          </cell>
          <cell r="C32">
            <v>0</v>
          </cell>
          <cell r="D32">
            <v>144.47999999999999</v>
          </cell>
          <cell r="E32">
            <v>0</v>
          </cell>
          <cell r="F32">
            <v>0</v>
          </cell>
          <cell r="G32">
            <v>0</v>
          </cell>
          <cell r="H32">
            <v>0</v>
          </cell>
          <cell r="I32">
            <v>168</v>
          </cell>
          <cell r="J32" t="str">
            <v>ECOS Consulting. Final Field Research Report: CA Plug Loads.October,  2006.</v>
          </cell>
        </row>
        <row r="33">
          <cell r="A33" t="str">
            <v>Cordless rechargeable stick vacuums</v>
          </cell>
          <cell r="B33" t="str">
            <v>-</v>
          </cell>
          <cell r="C33" t="str">
            <v>-</v>
          </cell>
          <cell r="D33" t="str">
            <v>-</v>
          </cell>
          <cell r="E33">
            <v>0</v>
          </cell>
          <cell r="F33">
            <v>0</v>
          </cell>
          <cell r="G33">
            <v>0</v>
          </cell>
          <cell r="H33" t="str">
            <v>-</v>
          </cell>
          <cell r="I33" t="str">
            <v>-</v>
          </cell>
          <cell r="J33">
            <v>0</v>
          </cell>
        </row>
        <row r="34">
          <cell r="A34" t="str">
            <v>Cordless rechargeable weed trimmers</v>
          </cell>
          <cell r="B34" t="str">
            <v>-</v>
          </cell>
          <cell r="C34" t="str">
            <v>-</v>
          </cell>
          <cell r="D34" t="str">
            <v>-</v>
          </cell>
          <cell r="E34">
            <v>0</v>
          </cell>
          <cell r="F34">
            <v>0</v>
          </cell>
          <cell r="G34">
            <v>0</v>
          </cell>
          <cell r="H34" t="str">
            <v>-</v>
          </cell>
          <cell r="I34" t="str">
            <v>-</v>
          </cell>
          <cell r="J34">
            <v>0</v>
          </cell>
        </row>
        <row r="35">
          <cell r="A35" t="str">
            <v>Desktop calculators</v>
          </cell>
          <cell r="B35" t="str">
            <v>-</v>
          </cell>
          <cell r="C35" t="str">
            <v>-</v>
          </cell>
          <cell r="D35" t="str">
            <v>-</v>
          </cell>
          <cell r="E35" t="str">
            <v>-</v>
          </cell>
          <cell r="F35" t="str">
            <v>-</v>
          </cell>
          <cell r="G35" t="str">
            <v>-</v>
          </cell>
          <cell r="H35" t="str">
            <v>-</v>
          </cell>
          <cell r="I35" t="str">
            <v>-</v>
          </cell>
          <cell r="J35">
            <v>0</v>
          </cell>
        </row>
        <row r="36">
          <cell r="A36" t="str">
            <v>Digital Picture Frame</v>
          </cell>
          <cell r="B36" t="str">
            <v>-</v>
          </cell>
          <cell r="C36" t="str">
            <v>-</v>
          </cell>
          <cell r="D36" t="str">
            <v>-</v>
          </cell>
          <cell r="E36">
            <v>0</v>
          </cell>
          <cell r="F36">
            <v>0</v>
          </cell>
          <cell r="G36">
            <v>0</v>
          </cell>
          <cell r="H36" t="str">
            <v>-</v>
          </cell>
          <cell r="I36" t="str">
            <v>-</v>
          </cell>
          <cell r="J36">
            <v>0</v>
          </cell>
        </row>
        <row r="37">
          <cell r="A37" t="str">
            <v>DIY Power tools - external battery</v>
          </cell>
          <cell r="B37">
            <v>8.4</v>
          </cell>
          <cell r="C37">
            <v>0</v>
          </cell>
          <cell r="D37">
            <v>126</v>
          </cell>
          <cell r="E37">
            <v>0</v>
          </cell>
          <cell r="F37">
            <v>0</v>
          </cell>
          <cell r="G37">
            <v>0</v>
          </cell>
          <cell r="H37">
            <v>33.6</v>
          </cell>
          <cell r="I37">
            <v>168</v>
          </cell>
          <cell r="J37" t="str">
            <v>ECOS Consulting. Final Field Research Report: CA Plug Loads.October,  2006.</v>
          </cell>
        </row>
        <row r="38">
          <cell r="A38" t="str">
            <v>DIY Power tools - integral battery</v>
          </cell>
          <cell r="B38">
            <v>8.4</v>
          </cell>
          <cell r="C38">
            <v>0</v>
          </cell>
          <cell r="D38">
            <v>126</v>
          </cell>
          <cell r="E38">
            <v>0</v>
          </cell>
          <cell r="F38">
            <v>0</v>
          </cell>
          <cell r="G38">
            <v>0</v>
          </cell>
          <cell r="H38">
            <v>33.6</v>
          </cell>
          <cell r="I38">
            <v>168</v>
          </cell>
          <cell r="J38" t="str">
            <v>ECOS Consulting. Final Field Research Report: CA Plug Loads.October,  2006.</v>
          </cell>
        </row>
        <row r="39">
          <cell r="A39" t="str">
            <v>E-Books (Kindle, Kindle 2, Sony Digital Book Reader)</v>
          </cell>
          <cell r="B39" t="str">
            <v>-</v>
          </cell>
          <cell r="C39" t="str">
            <v>-</v>
          </cell>
          <cell r="D39" t="str">
            <v>-</v>
          </cell>
          <cell r="E39">
            <v>0</v>
          </cell>
          <cell r="F39">
            <v>0</v>
          </cell>
          <cell r="G39">
            <v>0</v>
          </cell>
          <cell r="H39" t="str">
            <v>-</v>
          </cell>
          <cell r="I39" t="str">
            <v>-</v>
          </cell>
          <cell r="J39">
            <v>0</v>
          </cell>
        </row>
        <row r="40">
          <cell r="A40" t="str">
            <v>Electric lawn mowers (Corded)</v>
          </cell>
          <cell r="B40" t="str">
            <v>-</v>
          </cell>
          <cell r="C40" t="str">
            <v>-</v>
          </cell>
          <cell r="D40" t="str">
            <v>-</v>
          </cell>
          <cell r="E40">
            <v>0</v>
          </cell>
          <cell r="F40">
            <v>0</v>
          </cell>
          <cell r="G40">
            <v>0</v>
          </cell>
          <cell r="H40" t="str">
            <v>-</v>
          </cell>
          <cell r="I40" t="str">
            <v>-</v>
          </cell>
          <cell r="J40">
            <v>0</v>
          </cell>
        </row>
        <row r="41">
          <cell r="A41" t="str">
            <v>Electric lawn mowers (Rechargeable)</v>
          </cell>
          <cell r="B41" t="str">
            <v>-</v>
          </cell>
          <cell r="C41" t="str">
            <v>-</v>
          </cell>
          <cell r="D41" t="str">
            <v>-</v>
          </cell>
          <cell r="E41">
            <v>0</v>
          </cell>
          <cell r="F41">
            <v>0</v>
          </cell>
          <cell r="G41">
            <v>0</v>
          </cell>
          <cell r="H41" t="str">
            <v>-</v>
          </cell>
          <cell r="I41" t="str">
            <v>-</v>
          </cell>
          <cell r="J41">
            <v>0</v>
          </cell>
        </row>
        <row r="42">
          <cell r="A42" t="str">
            <v>Electric Wheelchairs/Scooters</v>
          </cell>
          <cell r="B42" t="str">
            <v>-</v>
          </cell>
          <cell r="C42" t="str">
            <v>-</v>
          </cell>
          <cell r="D42" t="str">
            <v>-</v>
          </cell>
          <cell r="E42">
            <v>0</v>
          </cell>
          <cell r="F42">
            <v>0</v>
          </cell>
          <cell r="G42">
            <v>0</v>
          </cell>
          <cell r="H42" t="str">
            <v>-</v>
          </cell>
          <cell r="I42" t="str">
            <v>-</v>
          </cell>
          <cell r="J42">
            <v>0</v>
          </cell>
        </row>
        <row r="43">
          <cell r="A43" t="str">
            <v>Electronic musical instruments</v>
          </cell>
          <cell r="B43" t="str">
            <v>-</v>
          </cell>
          <cell r="C43" t="str">
            <v>-</v>
          </cell>
          <cell r="D43" t="str">
            <v>-</v>
          </cell>
          <cell r="E43" t="str">
            <v>-</v>
          </cell>
          <cell r="F43" t="str">
            <v>-</v>
          </cell>
          <cell r="G43" t="str">
            <v>-</v>
          </cell>
          <cell r="H43" t="str">
            <v>-</v>
          </cell>
          <cell r="I43" t="str">
            <v>-</v>
          </cell>
          <cell r="J43">
            <v>0</v>
          </cell>
        </row>
        <row r="44">
          <cell r="A44" t="str">
            <v>Electronic Pest Repellent</v>
          </cell>
          <cell r="B44" t="str">
            <v>-</v>
          </cell>
          <cell r="C44" t="str">
            <v>-</v>
          </cell>
          <cell r="D44" t="str">
            <v>-</v>
          </cell>
          <cell r="E44">
            <v>0</v>
          </cell>
          <cell r="F44">
            <v>0</v>
          </cell>
          <cell r="G44">
            <v>0</v>
          </cell>
          <cell r="H44" t="str">
            <v>-</v>
          </cell>
          <cell r="I44" t="str">
            <v>-</v>
          </cell>
          <cell r="J44">
            <v>0</v>
          </cell>
        </row>
        <row r="45">
          <cell r="A45" t="str">
            <v>External hard drives</v>
          </cell>
          <cell r="B45" t="str">
            <v>-</v>
          </cell>
          <cell r="C45" t="str">
            <v>-</v>
          </cell>
          <cell r="D45" t="str">
            <v>-</v>
          </cell>
          <cell r="E45" t="str">
            <v>-</v>
          </cell>
          <cell r="F45" t="str">
            <v>-</v>
          </cell>
          <cell r="G45" t="str">
            <v>-</v>
          </cell>
          <cell r="H45" t="str">
            <v>-</v>
          </cell>
          <cell r="I45" t="str">
            <v>-</v>
          </cell>
          <cell r="J45">
            <v>0</v>
          </cell>
        </row>
        <row r="46">
          <cell r="A46" t="str">
            <v>External media drives (zip, HD Docks/Enclosures, CD/DVD Rom)</v>
          </cell>
          <cell r="B46" t="str">
            <v>-</v>
          </cell>
          <cell r="C46" t="str">
            <v>-</v>
          </cell>
          <cell r="D46" t="str">
            <v>-</v>
          </cell>
          <cell r="E46" t="str">
            <v>-</v>
          </cell>
          <cell r="F46" t="str">
            <v>-</v>
          </cell>
          <cell r="G46" t="str">
            <v>-</v>
          </cell>
          <cell r="H46" t="str">
            <v>-</v>
          </cell>
          <cell r="I46" t="str">
            <v>-</v>
          </cell>
          <cell r="J46">
            <v>0</v>
          </cell>
        </row>
        <row r="47">
          <cell r="A47" t="str">
            <v>Fax</v>
          </cell>
          <cell r="B47">
            <v>3.36</v>
          </cell>
          <cell r="C47">
            <v>67.2</v>
          </cell>
          <cell r="D47">
            <v>23.520000000000003</v>
          </cell>
          <cell r="E47">
            <v>0</v>
          </cell>
          <cell r="F47">
            <v>0</v>
          </cell>
          <cell r="G47">
            <v>0</v>
          </cell>
          <cell r="H47">
            <v>73.92</v>
          </cell>
          <cell r="I47">
            <v>168</v>
          </cell>
          <cell r="J47" t="str">
            <v>ECOS Consulting. Final Field Research Report: CA Plug Loads.October,  2006.</v>
          </cell>
        </row>
        <row r="48">
          <cell r="A48" t="str">
            <v>Flatbed image scanners</v>
          </cell>
          <cell r="B48">
            <v>0</v>
          </cell>
          <cell r="C48">
            <v>0</v>
          </cell>
          <cell r="D48">
            <v>168</v>
          </cell>
          <cell r="E48">
            <v>0</v>
          </cell>
          <cell r="F48">
            <v>0</v>
          </cell>
          <cell r="G48">
            <v>0</v>
          </cell>
          <cell r="H48">
            <v>0</v>
          </cell>
          <cell r="I48">
            <v>168</v>
          </cell>
          <cell r="J48" t="str">
            <v>ECOS Consulting. Final Field Research Report: CA Plug Loads.October,  2006.</v>
          </cell>
        </row>
        <row r="49">
          <cell r="A49" t="str">
            <v>Guitar effects</v>
          </cell>
          <cell r="B49" t="str">
            <v>-</v>
          </cell>
          <cell r="C49" t="str">
            <v>-</v>
          </cell>
          <cell r="D49" t="str">
            <v>-</v>
          </cell>
          <cell r="E49" t="str">
            <v>-</v>
          </cell>
          <cell r="F49" t="str">
            <v>-</v>
          </cell>
          <cell r="G49" t="str">
            <v>-</v>
          </cell>
          <cell r="H49" t="str">
            <v>-</v>
          </cell>
          <cell r="I49" t="str">
            <v>-</v>
          </cell>
          <cell r="J49">
            <v>0</v>
          </cell>
        </row>
        <row r="50">
          <cell r="A50" t="str">
            <v>Handheld computers</v>
          </cell>
          <cell r="B50" t="str">
            <v>-</v>
          </cell>
          <cell r="C50" t="str">
            <v>-</v>
          </cell>
          <cell r="D50" t="str">
            <v>-</v>
          </cell>
          <cell r="E50" t="str">
            <v>-</v>
          </cell>
          <cell r="F50" t="str">
            <v>-</v>
          </cell>
          <cell r="G50" t="str">
            <v>-</v>
          </cell>
          <cell r="H50" t="str">
            <v>-</v>
          </cell>
          <cell r="I50" t="str">
            <v>-</v>
          </cell>
          <cell r="J50">
            <v>0</v>
          </cell>
        </row>
        <row r="51">
          <cell r="A51" t="str">
            <v>Handheld image scanners</v>
          </cell>
          <cell r="B51" t="str">
            <v>-</v>
          </cell>
          <cell r="C51" t="str">
            <v>-</v>
          </cell>
          <cell r="D51" t="str">
            <v>-</v>
          </cell>
          <cell r="E51">
            <v>0</v>
          </cell>
          <cell r="F51">
            <v>0</v>
          </cell>
          <cell r="G51">
            <v>0</v>
          </cell>
          <cell r="H51" t="str">
            <v>-</v>
          </cell>
          <cell r="I51" t="str">
            <v>-</v>
          </cell>
          <cell r="J51">
            <v>0</v>
          </cell>
        </row>
        <row r="52">
          <cell r="A52" t="str">
            <v>Handheld navigation devices</v>
          </cell>
          <cell r="B52" t="str">
            <v>-</v>
          </cell>
          <cell r="C52" t="str">
            <v>-</v>
          </cell>
          <cell r="D52" t="str">
            <v>-</v>
          </cell>
          <cell r="E52">
            <v>0</v>
          </cell>
          <cell r="F52">
            <v>0</v>
          </cell>
          <cell r="G52">
            <v>0</v>
          </cell>
          <cell r="H52" t="str">
            <v>-</v>
          </cell>
          <cell r="I52" t="str">
            <v>-</v>
          </cell>
          <cell r="J52">
            <v>0</v>
          </cell>
        </row>
        <row r="53">
          <cell r="A53" t="str">
            <v>Home security systems</v>
          </cell>
          <cell r="B53" t="str">
            <v>-</v>
          </cell>
          <cell r="C53" t="str">
            <v>-</v>
          </cell>
          <cell r="D53" t="str">
            <v>-</v>
          </cell>
          <cell r="E53">
            <v>0</v>
          </cell>
          <cell r="F53">
            <v>0</v>
          </cell>
          <cell r="G53">
            <v>0</v>
          </cell>
          <cell r="H53" t="str">
            <v>-</v>
          </cell>
          <cell r="I53" t="str">
            <v>-</v>
          </cell>
          <cell r="J53">
            <v>0</v>
          </cell>
        </row>
        <row r="54">
          <cell r="A54" t="str">
            <v>Indoor fountain pumps/lights</v>
          </cell>
          <cell r="B54" t="str">
            <v>-</v>
          </cell>
          <cell r="C54" t="str">
            <v>-</v>
          </cell>
          <cell r="D54" t="str">
            <v>-</v>
          </cell>
          <cell r="E54">
            <v>0</v>
          </cell>
          <cell r="F54">
            <v>0</v>
          </cell>
          <cell r="G54">
            <v>0</v>
          </cell>
          <cell r="H54" t="str">
            <v>-</v>
          </cell>
          <cell r="I54" t="str">
            <v>-</v>
          </cell>
          <cell r="J54">
            <v>0</v>
          </cell>
        </row>
        <row r="55">
          <cell r="A55" t="str">
            <v>Inkjet Computer Printers</v>
          </cell>
          <cell r="B55">
            <v>1.68</v>
          </cell>
          <cell r="C55">
            <v>0</v>
          </cell>
          <cell r="D55">
            <v>166.32</v>
          </cell>
          <cell r="E55">
            <v>0</v>
          </cell>
          <cell r="F55">
            <v>0</v>
          </cell>
          <cell r="G55">
            <v>0</v>
          </cell>
          <cell r="H55">
            <v>0</v>
          </cell>
          <cell r="I55">
            <v>168</v>
          </cell>
          <cell r="J55" t="str">
            <v>ECOS Consulting. Final Field Research Report: CA Plug Loads.October,  2006.</v>
          </cell>
        </row>
        <row r="56">
          <cell r="A56" t="str">
            <v>In-vehicle navigation devices</v>
          </cell>
          <cell r="B56" t="str">
            <v>-</v>
          </cell>
          <cell r="C56" t="str">
            <v>-</v>
          </cell>
          <cell r="D56" t="str">
            <v>-</v>
          </cell>
          <cell r="E56">
            <v>0</v>
          </cell>
          <cell r="F56">
            <v>0</v>
          </cell>
          <cell r="G56">
            <v>0</v>
          </cell>
          <cell r="H56" t="str">
            <v>-</v>
          </cell>
          <cell r="I56" t="str">
            <v>-</v>
          </cell>
          <cell r="J56">
            <v>0</v>
          </cell>
        </row>
        <row r="57">
          <cell r="A57" t="str">
            <v>Irrigation Timers</v>
          </cell>
          <cell r="B57">
            <v>5.04</v>
          </cell>
          <cell r="C57">
            <v>0</v>
          </cell>
          <cell r="D57">
            <v>162.96</v>
          </cell>
          <cell r="E57">
            <v>0</v>
          </cell>
          <cell r="F57">
            <v>0</v>
          </cell>
          <cell r="G57">
            <v>0</v>
          </cell>
          <cell r="H57">
            <v>0</v>
          </cell>
          <cell r="I57">
            <v>168</v>
          </cell>
          <cell r="J57" t="str">
            <v>ECOS Consulting. Final Field Research Report: CA Plug Loads.October,  2006.</v>
          </cell>
        </row>
        <row r="58">
          <cell r="A58" t="str">
            <v>LAN Equipment</v>
          </cell>
          <cell r="B58" t="str">
            <v>-</v>
          </cell>
          <cell r="C58" t="str">
            <v>-</v>
          </cell>
          <cell r="D58" t="str">
            <v>-</v>
          </cell>
          <cell r="E58">
            <v>0</v>
          </cell>
          <cell r="F58">
            <v>0</v>
          </cell>
          <cell r="G58">
            <v>0</v>
          </cell>
          <cell r="H58" t="str">
            <v>-</v>
          </cell>
          <cell r="I58" t="str">
            <v>-</v>
          </cell>
          <cell r="J58">
            <v>0</v>
          </cell>
        </row>
        <row r="59">
          <cell r="A59" t="str">
            <v>Mobile phones</v>
          </cell>
          <cell r="B59">
            <v>8.4</v>
          </cell>
          <cell r="C59">
            <v>3.36</v>
          </cell>
          <cell r="D59">
            <v>142.79999999999998</v>
          </cell>
          <cell r="E59">
            <v>0</v>
          </cell>
          <cell r="F59">
            <v>0</v>
          </cell>
          <cell r="G59">
            <v>0</v>
          </cell>
          <cell r="H59">
            <v>13.44</v>
          </cell>
          <cell r="I59">
            <v>167.99999999999997</v>
          </cell>
          <cell r="J59" t="str">
            <v>ECOS Consulting. Final Field Research Report: CA Plug Loads.October,  2006.</v>
          </cell>
        </row>
        <row r="60">
          <cell r="A60" t="str">
            <v>Modems (External)</v>
          </cell>
          <cell r="B60">
            <v>84</v>
          </cell>
          <cell r="C60">
            <v>0</v>
          </cell>
          <cell r="D60">
            <v>84</v>
          </cell>
          <cell r="E60">
            <v>0</v>
          </cell>
          <cell r="F60">
            <v>0</v>
          </cell>
          <cell r="G60">
            <v>0</v>
          </cell>
          <cell r="H60">
            <v>0</v>
          </cell>
          <cell r="I60">
            <v>168</v>
          </cell>
          <cell r="J60" t="str">
            <v>ECOS Consulting. Final Field Research Report: CA Plug Loads.October,  2006.</v>
          </cell>
        </row>
        <row r="61">
          <cell r="A61" t="str">
            <v>Motorized Bicycles</v>
          </cell>
          <cell r="B61" t="str">
            <v>-</v>
          </cell>
          <cell r="C61" t="str">
            <v>-</v>
          </cell>
          <cell r="D61" t="str">
            <v>-</v>
          </cell>
          <cell r="E61">
            <v>0</v>
          </cell>
          <cell r="F61">
            <v>0</v>
          </cell>
          <cell r="G61">
            <v>0</v>
          </cell>
          <cell r="H61" t="str">
            <v>-</v>
          </cell>
          <cell r="I61" t="str">
            <v>-</v>
          </cell>
          <cell r="J61">
            <v>0</v>
          </cell>
        </row>
        <row r="62">
          <cell r="A62" t="str">
            <v>MP3 Speaker Docks</v>
          </cell>
          <cell r="B62" t="str">
            <v>-</v>
          </cell>
          <cell r="C62" t="str">
            <v>-</v>
          </cell>
          <cell r="D62" t="str">
            <v>-</v>
          </cell>
          <cell r="E62" t="str">
            <v>-</v>
          </cell>
          <cell r="F62" t="str">
            <v>-</v>
          </cell>
          <cell r="G62" t="str">
            <v>-</v>
          </cell>
          <cell r="H62" t="str">
            <v>-</v>
          </cell>
          <cell r="I62" t="str">
            <v>-</v>
          </cell>
          <cell r="J62">
            <v>0</v>
          </cell>
        </row>
        <row r="63">
          <cell r="A63" t="str">
            <v>Multifunction devices (MFD)</v>
          </cell>
          <cell r="B63">
            <v>5.04</v>
          </cell>
          <cell r="C63">
            <v>11.760000000000002</v>
          </cell>
          <cell r="D63">
            <v>139.44</v>
          </cell>
          <cell r="E63">
            <v>0</v>
          </cell>
          <cell r="F63">
            <v>0</v>
          </cell>
          <cell r="G63">
            <v>0</v>
          </cell>
          <cell r="H63">
            <v>11.760000000000002</v>
          </cell>
          <cell r="I63">
            <v>168</v>
          </cell>
          <cell r="J63" t="str">
            <v>ECOS Consulting. Final Field Research Report: CA Plug Loads.October,  2006.</v>
          </cell>
        </row>
        <row r="64">
          <cell r="A64" t="str">
            <v>Musical keyboards</v>
          </cell>
          <cell r="B64" t="str">
            <v>-</v>
          </cell>
          <cell r="C64" t="str">
            <v>-</v>
          </cell>
          <cell r="D64" t="str">
            <v>-</v>
          </cell>
          <cell r="E64" t="str">
            <v>-</v>
          </cell>
          <cell r="F64" t="str">
            <v>-</v>
          </cell>
          <cell r="G64" t="str">
            <v>-</v>
          </cell>
          <cell r="H64" t="str">
            <v>-</v>
          </cell>
          <cell r="I64" t="str">
            <v>-</v>
          </cell>
          <cell r="J64">
            <v>0</v>
          </cell>
        </row>
        <row r="65">
          <cell r="A65" t="str">
            <v>Netbooks</v>
          </cell>
          <cell r="B65" t="str">
            <v>-</v>
          </cell>
          <cell r="C65" t="str">
            <v>-</v>
          </cell>
          <cell r="D65" t="str">
            <v>-</v>
          </cell>
          <cell r="E65" t="str">
            <v>-</v>
          </cell>
          <cell r="F65" t="str">
            <v>-</v>
          </cell>
          <cell r="G65" t="str">
            <v>-</v>
          </cell>
          <cell r="H65" t="str">
            <v>-</v>
          </cell>
          <cell r="I65" t="str">
            <v>-</v>
          </cell>
          <cell r="J65">
            <v>0</v>
          </cell>
        </row>
        <row r="66">
          <cell r="A66" t="str">
            <v>Notebook computer dock</v>
          </cell>
          <cell r="B66" t="str">
            <v>-</v>
          </cell>
          <cell r="C66" t="str">
            <v>-</v>
          </cell>
          <cell r="D66" t="str">
            <v>-</v>
          </cell>
          <cell r="E66" t="str">
            <v>-</v>
          </cell>
          <cell r="F66" t="str">
            <v>-</v>
          </cell>
          <cell r="G66" t="str">
            <v>-</v>
          </cell>
          <cell r="H66" t="str">
            <v>-</v>
          </cell>
          <cell r="I66" t="str">
            <v>-</v>
          </cell>
          <cell r="J66">
            <v>0</v>
          </cell>
        </row>
        <row r="67">
          <cell r="A67" t="str">
            <v>Notebook computers</v>
          </cell>
          <cell r="B67">
            <v>57.120000000000005</v>
          </cell>
          <cell r="C67">
            <v>18.48</v>
          </cell>
          <cell r="D67">
            <v>78.959999999999994</v>
          </cell>
          <cell r="E67">
            <v>0</v>
          </cell>
          <cell r="F67">
            <v>0</v>
          </cell>
          <cell r="G67">
            <v>0</v>
          </cell>
          <cell r="H67">
            <v>13.44</v>
          </cell>
          <cell r="I67">
            <v>168</v>
          </cell>
          <cell r="J67" t="str">
            <v>ECOS Consulting. Final Field Research Report: CA Plug Loads.October,  2006.</v>
          </cell>
        </row>
        <row r="68">
          <cell r="A68" t="str">
            <v>Notebook computers</v>
          </cell>
          <cell r="B68">
            <v>18</v>
          </cell>
          <cell r="C68">
            <v>58</v>
          </cell>
          <cell r="D68">
            <v>13</v>
          </cell>
          <cell r="E68">
            <v>0</v>
          </cell>
          <cell r="F68">
            <v>0</v>
          </cell>
          <cell r="G68">
            <v>0</v>
          </cell>
          <cell r="H68">
            <v>79</v>
          </cell>
          <cell r="I68">
            <v>168</v>
          </cell>
          <cell r="J68" t="str">
            <v>NCI Estimate</v>
          </cell>
        </row>
        <row r="69">
          <cell r="A69" t="str">
            <v>Other Mobility (Segway scooter)</v>
          </cell>
          <cell r="B69" t="str">
            <v>-</v>
          </cell>
          <cell r="C69" t="str">
            <v>-</v>
          </cell>
          <cell r="D69" t="str">
            <v>-</v>
          </cell>
          <cell r="E69">
            <v>0</v>
          </cell>
          <cell r="F69">
            <v>0</v>
          </cell>
          <cell r="G69">
            <v>0</v>
          </cell>
          <cell r="H69" t="str">
            <v>-</v>
          </cell>
          <cell r="I69" t="str">
            <v>-</v>
          </cell>
          <cell r="J69">
            <v>0</v>
          </cell>
        </row>
        <row r="70">
          <cell r="A70" t="str">
            <v>Portable CD player</v>
          </cell>
          <cell r="B70">
            <v>3.36</v>
          </cell>
          <cell r="C70">
            <v>5.04</v>
          </cell>
          <cell r="D70">
            <v>75.600000000000009</v>
          </cell>
          <cell r="E70">
            <v>0</v>
          </cell>
          <cell r="F70">
            <v>0</v>
          </cell>
          <cell r="G70">
            <v>0</v>
          </cell>
          <cell r="H70">
            <v>84</v>
          </cell>
          <cell r="I70">
            <v>168</v>
          </cell>
          <cell r="J70" t="str">
            <v>ECOS Consulting. Final Field Research Report: CA Plug Loads.October,  2006.</v>
          </cell>
        </row>
        <row r="71">
          <cell r="A71" t="str">
            <v>Portable media players</v>
          </cell>
          <cell r="B71">
            <v>0</v>
          </cell>
          <cell r="C71">
            <v>0</v>
          </cell>
          <cell r="D71">
            <v>0</v>
          </cell>
          <cell r="E71">
            <v>0</v>
          </cell>
          <cell r="F71">
            <v>0</v>
          </cell>
          <cell r="G71">
            <v>0</v>
          </cell>
          <cell r="H71">
            <v>168</v>
          </cell>
          <cell r="I71">
            <v>168</v>
          </cell>
          <cell r="J71" t="str">
            <v>NCI DOD Calculation</v>
          </cell>
        </row>
        <row r="72">
          <cell r="A72" t="str">
            <v>Portable stereos</v>
          </cell>
          <cell r="B72" t="str">
            <v>-</v>
          </cell>
          <cell r="C72" t="str">
            <v>-</v>
          </cell>
          <cell r="D72" t="str">
            <v>-</v>
          </cell>
          <cell r="E72" t="str">
            <v>-</v>
          </cell>
          <cell r="F72" t="str">
            <v>-</v>
          </cell>
          <cell r="G72" t="str">
            <v>-</v>
          </cell>
          <cell r="H72" t="str">
            <v>-</v>
          </cell>
          <cell r="I72" t="str">
            <v>-</v>
          </cell>
          <cell r="J72">
            <v>0</v>
          </cell>
        </row>
        <row r="73">
          <cell r="A73" t="str">
            <v>Portable Video Game Systems (PSP)</v>
          </cell>
          <cell r="B73" t="str">
            <v>-</v>
          </cell>
          <cell r="C73" t="str">
            <v>-</v>
          </cell>
          <cell r="D73" t="str">
            <v>-</v>
          </cell>
          <cell r="E73">
            <v>0</v>
          </cell>
          <cell r="F73">
            <v>0</v>
          </cell>
          <cell r="G73">
            <v>0</v>
          </cell>
          <cell r="H73" t="str">
            <v>-</v>
          </cell>
          <cell r="I73" t="str">
            <v>-</v>
          </cell>
          <cell r="J73">
            <v>0</v>
          </cell>
        </row>
        <row r="74">
          <cell r="A74" t="str">
            <v>Professional Power tools</v>
          </cell>
          <cell r="B74" t="str">
            <v>-</v>
          </cell>
          <cell r="C74" t="str">
            <v>-</v>
          </cell>
          <cell r="D74" t="str">
            <v>-</v>
          </cell>
          <cell r="E74">
            <v>0</v>
          </cell>
          <cell r="F74">
            <v>0</v>
          </cell>
          <cell r="G74">
            <v>0</v>
          </cell>
          <cell r="H74" t="str">
            <v>-</v>
          </cell>
          <cell r="I74" t="str">
            <v>-</v>
          </cell>
          <cell r="J74">
            <v>0</v>
          </cell>
        </row>
        <row r="75">
          <cell r="A75" t="str">
            <v>Radio</v>
          </cell>
          <cell r="B75" t="str">
            <v>-</v>
          </cell>
          <cell r="C75" t="str">
            <v>-</v>
          </cell>
          <cell r="D75" t="str">
            <v>-</v>
          </cell>
          <cell r="E75" t="str">
            <v>-</v>
          </cell>
          <cell r="F75" t="str">
            <v>-</v>
          </cell>
          <cell r="G75" t="str">
            <v>-</v>
          </cell>
          <cell r="H75" t="str">
            <v>-</v>
          </cell>
          <cell r="I75" t="str">
            <v>-</v>
          </cell>
          <cell r="J75">
            <v>0</v>
          </cell>
        </row>
        <row r="76">
          <cell r="A76" t="str">
            <v>Rechargeable Fans</v>
          </cell>
          <cell r="B76" t="str">
            <v>-</v>
          </cell>
          <cell r="C76" t="str">
            <v>-</v>
          </cell>
          <cell r="D76" t="str">
            <v>-</v>
          </cell>
          <cell r="E76">
            <v>0</v>
          </cell>
          <cell r="F76">
            <v>0</v>
          </cell>
          <cell r="G76">
            <v>0</v>
          </cell>
          <cell r="H76" t="str">
            <v>-</v>
          </cell>
          <cell r="I76" t="str">
            <v>-</v>
          </cell>
          <cell r="J76">
            <v>0</v>
          </cell>
        </row>
        <row r="77">
          <cell r="A77" t="str">
            <v>Rechargeable lanterns/flashlights</v>
          </cell>
          <cell r="B77" t="str">
            <v>-</v>
          </cell>
          <cell r="C77" t="str">
            <v>-</v>
          </cell>
          <cell r="D77" t="str">
            <v>-</v>
          </cell>
          <cell r="E77">
            <v>0</v>
          </cell>
          <cell r="F77">
            <v>0</v>
          </cell>
          <cell r="G77">
            <v>0</v>
          </cell>
          <cell r="H77" t="str">
            <v>-</v>
          </cell>
          <cell r="I77" t="str">
            <v>-</v>
          </cell>
          <cell r="J77">
            <v>0</v>
          </cell>
        </row>
        <row r="78">
          <cell r="A78" t="str">
            <v>Rechargeable toothbrushes</v>
          </cell>
          <cell r="B78">
            <v>1.68</v>
          </cell>
          <cell r="C78">
            <v>0</v>
          </cell>
          <cell r="D78">
            <v>166.32</v>
          </cell>
          <cell r="E78">
            <v>0</v>
          </cell>
          <cell r="F78">
            <v>0</v>
          </cell>
          <cell r="G78">
            <v>0</v>
          </cell>
          <cell r="H78">
            <v>0</v>
          </cell>
          <cell r="I78">
            <v>168</v>
          </cell>
          <cell r="J78" t="str">
            <v>ECOS Consulting. Final Field Research Report: CA Plug Loads.October,  2006.</v>
          </cell>
        </row>
        <row r="79">
          <cell r="A79" t="str">
            <v>Routers</v>
          </cell>
          <cell r="B79" t="str">
            <v>-</v>
          </cell>
          <cell r="C79" t="str">
            <v>-</v>
          </cell>
          <cell r="D79" t="str">
            <v>-</v>
          </cell>
          <cell r="E79">
            <v>0</v>
          </cell>
          <cell r="F79">
            <v>0</v>
          </cell>
          <cell r="G79">
            <v>0</v>
          </cell>
          <cell r="H79" t="str">
            <v>-</v>
          </cell>
          <cell r="I79" t="str">
            <v>-</v>
          </cell>
          <cell r="J79">
            <v>0</v>
          </cell>
        </row>
        <row r="80">
          <cell r="A80" t="str">
            <v>Sump Pumps (emergency battery back up</v>
          </cell>
          <cell r="B80" t="str">
            <v>-</v>
          </cell>
          <cell r="C80" t="str">
            <v>-</v>
          </cell>
          <cell r="D80" t="str">
            <v>-</v>
          </cell>
          <cell r="E80">
            <v>0</v>
          </cell>
          <cell r="F80">
            <v>0</v>
          </cell>
          <cell r="G80">
            <v>0</v>
          </cell>
          <cell r="H80" t="str">
            <v>-</v>
          </cell>
          <cell r="I80" t="str">
            <v>-</v>
          </cell>
          <cell r="J80">
            <v>0</v>
          </cell>
        </row>
        <row r="81">
          <cell r="A81" t="str">
            <v>Telephone answering devices</v>
          </cell>
          <cell r="B81">
            <v>55.440000000000005</v>
          </cell>
          <cell r="C81">
            <v>0</v>
          </cell>
          <cell r="D81">
            <v>112.56</v>
          </cell>
          <cell r="E81">
            <v>0</v>
          </cell>
          <cell r="F81">
            <v>0</v>
          </cell>
          <cell r="G81">
            <v>0</v>
          </cell>
          <cell r="H81">
            <v>0</v>
          </cell>
          <cell r="I81">
            <v>168</v>
          </cell>
          <cell r="J81" t="str">
            <v>ECOS Consulting. Final Field Research Report: CA Plug Loads.October,  2006.</v>
          </cell>
        </row>
        <row r="82">
          <cell r="A82" t="str">
            <v>Uninteruptible Power Supplies</v>
          </cell>
          <cell r="B82" t="str">
            <v>-</v>
          </cell>
          <cell r="C82" t="str">
            <v>-</v>
          </cell>
          <cell r="D82" t="str">
            <v>-</v>
          </cell>
          <cell r="E82" t="str">
            <v>-</v>
          </cell>
          <cell r="F82" t="str">
            <v>-</v>
          </cell>
          <cell r="G82" t="str">
            <v>-</v>
          </cell>
          <cell r="H82" t="str">
            <v>-</v>
          </cell>
          <cell r="I82" t="str">
            <v>-</v>
          </cell>
          <cell r="J82">
            <v>0</v>
          </cell>
        </row>
        <row r="83">
          <cell r="A83" t="str">
            <v>Universal battery chargers</v>
          </cell>
          <cell r="B83" t="str">
            <v>-</v>
          </cell>
          <cell r="C83" t="str">
            <v>-</v>
          </cell>
          <cell r="D83" t="str">
            <v>-</v>
          </cell>
          <cell r="E83">
            <v>0</v>
          </cell>
          <cell r="F83">
            <v>0</v>
          </cell>
          <cell r="G83">
            <v>0</v>
          </cell>
          <cell r="H83" t="str">
            <v>-</v>
          </cell>
          <cell r="I83" t="str">
            <v>-</v>
          </cell>
          <cell r="J83">
            <v>0</v>
          </cell>
        </row>
        <row r="84">
          <cell r="A84" t="str">
            <v>VoIP Adapters?</v>
          </cell>
          <cell r="B84" t="str">
            <v>-</v>
          </cell>
          <cell r="C84" t="str">
            <v>-</v>
          </cell>
          <cell r="D84" t="str">
            <v>-</v>
          </cell>
          <cell r="E84">
            <v>0</v>
          </cell>
          <cell r="F84">
            <v>0</v>
          </cell>
          <cell r="G84">
            <v>0</v>
          </cell>
          <cell r="H84" t="str">
            <v>-</v>
          </cell>
          <cell r="I84" t="str">
            <v>-</v>
          </cell>
          <cell r="J84">
            <v>0</v>
          </cell>
        </row>
        <row r="85">
          <cell r="A85" t="str">
            <v>Water purifiers and softeners</v>
          </cell>
          <cell r="B85" t="str">
            <v>-</v>
          </cell>
          <cell r="C85" t="str">
            <v>-</v>
          </cell>
          <cell r="D85" t="str">
            <v>-</v>
          </cell>
          <cell r="E85">
            <v>0</v>
          </cell>
          <cell r="F85">
            <v>0</v>
          </cell>
          <cell r="G85">
            <v>0</v>
          </cell>
          <cell r="H85" t="str">
            <v>-</v>
          </cell>
          <cell r="I85" t="str">
            <v>-</v>
          </cell>
          <cell r="J85">
            <v>0</v>
          </cell>
        </row>
        <row r="86">
          <cell r="A86" t="str">
            <v>Waterbed pumps</v>
          </cell>
          <cell r="B86" t="str">
            <v>-</v>
          </cell>
          <cell r="C86" t="str">
            <v>-</v>
          </cell>
          <cell r="D86" t="str">
            <v>-</v>
          </cell>
          <cell r="E86">
            <v>0</v>
          </cell>
          <cell r="F86">
            <v>0</v>
          </cell>
          <cell r="G86">
            <v>0</v>
          </cell>
          <cell r="H86" t="str">
            <v>-</v>
          </cell>
          <cell r="I86" t="str">
            <v>-</v>
          </cell>
          <cell r="J86">
            <v>0</v>
          </cell>
        </row>
        <row r="87">
          <cell r="A87" t="str">
            <v>Wi-Fi access points</v>
          </cell>
          <cell r="B87" t="str">
            <v>-</v>
          </cell>
          <cell r="C87" t="str">
            <v>-</v>
          </cell>
          <cell r="D87" t="str">
            <v>-</v>
          </cell>
          <cell r="E87">
            <v>0</v>
          </cell>
          <cell r="F87">
            <v>0</v>
          </cell>
          <cell r="G87">
            <v>0</v>
          </cell>
          <cell r="H87" t="str">
            <v>-</v>
          </cell>
          <cell r="I87" t="str">
            <v>-</v>
          </cell>
          <cell r="J87">
            <v>0</v>
          </cell>
        </row>
        <row r="88">
          <cell r="A88" t="str">
            <v>Wireless speakers</v>
          </cell>
          <cell r="B88">
            <v>6.72</v>
          </cell>
          <cell r="C88">
            <v>0</v>
          </cell>
          <cell r="D88">
            <v>161.28</v>
          </cell>
          <cell r="E88">
            <v>0</v>
          </cell>
          <cell r="F88">
            <v>0</v>
          </cell>
          <cell r="G88">
            <v>0</v>
          </cell>
          <cell r="H88">
            <v>0</v>
          </cell>
          <cell r="I88">
            <v>168</v>
          </cell>
          <cell r="J88" t="str">
            <v>ECOS Consulting. Final Field Research Report: CA Plug Loads.October,  2006.</v>
          </cell>
        </row>
      </sheetData>
      <sheetData sheetId="4">
        <row r="2">
          <cell r="B2" t="str">
            <v>State 1</v>
          </cell>
          <cell r="C2" t="str">
            <v>State 2</v>
          </cell>
          <cell r="D2" t="str">
            <v>State 3</v>
          </cell>
          <cell r="E2" t="str">
            <v>State 4</v>
          </cell>
          <cell r="F2" t="str">
            <v>State 5</v>
          </cell>
          <cell r="G2" t="str">
            <v>State 6</v>
          </cell>
          <cell r="H2" t="str">
            <v>No Power/Unplugged State</v>
          </cell>
          <cell r="I2" t="str">
            <v>Source</v>
          </cell>
        </row>
        <row r="3">
          <cell r="A3" t="str">
            <v>Generic Loading Point Description</v>
          </cell>
          <cell r="B3" t="str">
            <v>% Nameplate Output Power</v>
          </cell>
          <cell r="C3" t="str">
            <v>% Nameplate Output Power</v>
          </cell>
          <cell r="D3" t="str">
            <v>% Nameplate Output Power</v>
          </cell>
          <cell r="E3" t="str">
            <v>% Nameplate Output Power</v>
          </cell>
          <cell r="F3" t="str">
            <v>% Nameplate Output Power</v>
          </cell>
          <cell r="G3" t="str">
            <v>% Nameplate Output Power</v>
          </cell>
          <cell r="H3" t="str">
            <v>% Nameplate Output Power</v>
          </cell>
          <cell r="I3">
            <v>0</v>
          </cell>
        </row>
        <row r="4">
          <cell r="A4" t="str">
            <v>Generic A</v>
          </cell>
          <cell r="B4">
            <v>0.8</v>
          </cell>
          <cell r="C4">
            <v>0.25</v>
          </cell>
          <cell r="D4">
            <v>0.25</v>
          </cell>
          <cell r="E4">
            <v>0.25</v>
          </cell>
          <cell r="F4">
            <v>0.25</v>
          </cell>
          <cell r="G4">
            <v>0.25</v>
          </cell>
          <cell r="H4">
            <v>0.05</v>
          </cell>
          <cell r="I4" t="str">
            <v>NCI Estimate - Temporary Stand-in</v>
          </cell>
        </row>
        <row r="5">
          <cell r="A5" t="str">
            <v>Generic B</v>
          </cell>
          <cell r="B5">
            <v>0.9</v>
          </cell>
          <cell r="C5">
            <v>0.1</v>
          </cell>
          <cell r="D5">
            <v>0.1</v>
          </cell>
          <cell r="E5">
            <v>0.1</v>
          </cell>
          <cell r="F5">
            <v>0.1</v>
          </cell>
          <cell r="G5">
            <v>0.1</v>
          </cell>
          <cell r="H5">
            <v>0.05</v>
          </cell>
          <cell r="I5" t="str">
            <v>NCI Estimate - Temporary Stand-in</v>
          </cell>
        </row>
        <row r="6">
          <cell r="A6" t="str">
            <v>Generic C</v>
          </cell>
          <cell r="B6">
            <v>0.75</v>
          </cell>
          <cell r="C6">
            <v>0.1</v>
          </cell>
          <cell r="D6">
            <v>0.1</v>
          </cell>
          <cell r="E6">
            <v>0.1</v>
          </cell>
          <cell r="F6">
            <v>0.1</v>
          </cell>
          <cell r="G6">
            <v>0.1</v>
          </cell>
          <cell r="H6">
            <v>0.05</v>
          </cell>
          <cell r="I6" t="str">
            <v>NCI Estimate - Temporary Stand-in</v>
          </cell>
        </row>
        <row r="7">
          <cell r="A7" t="str">
            <v>Custom</v>
          </cell>
        </row>
      </sheetData>
      <sheetData sheetId="5">
        <row r="3">
          <cell r="A3" t="str">
            <v>Air Matress Pumps</v>
          </cell>
          <cell r="D3">
            <v>0</v>
          </cell>
          <cell r="E3">
            <v>0</v>
          </cell>
          <cell r="F3">
            <v>0</v>
          </cell>
          <cell r="G3">
            <v>0</v>
          </cell>
        </row>
        <row r="4">
          <cell r="A4" t="str">
            <v>State 1</v>
          </cell>
          <cell r="D4">
            <v>0</v>
          </cell>
          <cell r="E4">
            <v>0</v>
          </cell>
          <cell r="F4">
            <v>0</v>
          </cell>
          <cell r="G4">
            <v>0</v>
          </cell>
        </row>
        <row r="5">
          <cell r="A5" t="str">
            <v>State 2</v>
          </cell>
          <cell r="D5">
            <v>0</v>
          </cell>
          <cell r="E5">
            <v>0</v>
          </cell>
          <cell r="F5">
            <v>0</v>
          </cell>
          <cell r="G5">
            <v>0</v>
          </cell>
        </row>
        <row r="6">
          <cell r="A6" t="str">
            <v>State 3</v>
          </cell>
          <cell r="D6">
            <v>0</v>
          </cell>
          <cell r="E6">
            <v>0</v>
          </cell>
          <cell r="F6">
            <v>0</v>
          </cell>
          <cell r="G6">
            <v>0</v>
          </cell>
        </row>
        <row r="7">
          <cell r="A7" t="str">
            <v>State 4</v>
          </cell>
          <cell r="D7">
            <v>0</v>
          </cell>
          <cell r="E7">
            <v>0</v>
          </cell>
          <cell r="F7">
            <v>0</v>
          </cell>
          <cell r="G7">
            <v>0</v>
          </cell>
        </row>
        <row r="8">
          <cell r="A8" t="str">
            <v>State 5</v>
          </cell>
          <cell r="D8">
            <v>0</v>
          </cell>
          <cell r="E8">
            <v>0</v>
          </cell>
          <cell r="F8">
            <v>0</v>
          </cell>
          <cell r="G8">
            <v>0</v>
          </cell>
        </row>
        <row r="9">
          <cell r="A9" t="str">
            <v>State 6</v>
          </cell>
          <cell r="D9">
            <v>0</v>
          </cell>
          <cell r="E9">
            <v>0</v>
          </cell>
          <cell r="F9">
            <v>0</v>
          </cell>
          <cell r="G9">
            <v>0</v>
          </cell>
        </row>
        <row r="10">
          <cell r="A10" t="str">
            <v>Unplugged</v>
          </cell>
          <cell r="D10">
            <v>0</v>
          </cell>
          <cell r="E10">
            <v>0</v>
          </cell>
          <cell r="F10">
            <v>0</v>
          </cell>
          <cell r="G10">
            <v>0</v>
          </cell>
        </row>
        <row r="11">
          <cell r="A11">
            <v>0</v>
          </cell>
          <cell r="D11">
            <v>0</v>
          </cell>
          <cell r="E11">
            <v>0</v>
          </cell>
          <cell r="F11">
            <v>0</v>
          </cell>
          <cell r="G11">
            <v>0</v>
          </cell>
        </row>
        <row r="12">
          <cell r="A12" t="str">
            <v>Amplifiers (Pre-Amps)</v>
          </cell>
          <cell r="D12">
            <v>0</v>
          </cell>
          <cell r="E12">
            <v>0</v>
          </cell>
          <cell r="F12">
            <v>0</v>
          </cell>
          <cell r="G12">
            <v>0</v>
          </cell>
        </row>
        <row r="13">
          <cell r="A13" t="str">
            <v>State 1</v>
          </cell>
          <cell r="D13">
            <v>1</v>
          </cell>
          <cell r="E13">
            <v>0</v>
          </cell>
          <cell r="F13">
            <v>0</v>
          </cell>
          <cell r="G13">
            <v>0</v>
          </cell>
        </row>
        <row r="14">
          <cell r="A14" t="str">
            <v>State 2</v>
          </cell>
          <cell r="D14">
            <v>0</v>
          </cell>
          <cell r="E14">
            <v>0</v>
          </cell>
          <cell r="F14">
            <v>0</v>
          </cell>
          <cell r="G14">
            <v>0</v>
          </cell>
        </row>
        <row r="15">
          <cell r="A15" t="str">
            <v>State 3</v>
          </cell>
          <cell r="D15">
            <v>0</v>
          </cell>
          <cell r="E15">
            <v>0</v>
          </cell>
          <cell r="F15">
            <v>1</v>
          </cell>
          <cell r="G15">
            <v>0</v>
          </cell>
        </row>
        <row r="16">
          <cell r="A16" t="str">
            <v>State 4</v>
          </cell>
          <cell r="D16">
            <v>0</v>
          </cell>
          <cell r="E16">
            <v>0</v>
          </cell>
          <cell r="F16">
            <v>0</v>
          </cell>
          <cell r="G16">
            <v>0</v>
          </cell>
        </row>
        <row r="17">
          <cell r="A17" t="str">
            <v>State 5</v>
          </cell>
          <cell r="D17">
            <v>0</v>
          </cell>
          <cell r="E17">
            <v>0</v>
          </cell>
          <cell r="F17">
            <v>0</v>
          </cell>
          <cell r="G17">
            <v>0</v>
          </cell>
        </row>
        <row r="18">
          <cell r="A18" t="str">
            <v>State 6</v>
          </cell>
          <cell r="D18">
            <v>0</v>
          </cell>
          <cell r="E18">
            <v>0</v>
          </cell>
          <cell r="F18">
            <v>0</v>
          </cell>
          <cell r="G18">
            <v>0</v>
          </cell>
        </row>
        <row r="19">
          <cell r="A19" t="str">
            <v>No Power/Unplugged State</v>
          </cell>
          <cell r="D19">
            <v>0</v>
          </cell>
          <cell r="E19">
            <v>0</v>
          </cell>
          <cell r="F19">
            <v>0</v>
          </cell>
          <cell r="G19">
            <v>1</v>
          </cell>
        </row>
        <row r="20">
          <cell r="A20">
            <v>0</v>
          </cell>
          <cell r="D20">
            <v>0</v>
          </cell>
          <cell r="E20">
            <v>0</v>
          </cell>
          <cell r="F20">
            <v>0</v>
          </cell>
          <cell r="G20">
            <v>0</v>
          </cell>
        </row>
        <row r="21">
          <cell r="A21" t="str">
            <v>Aquarium air pumps/lights</v>
          </cell>
          <cell r="D21">
            <v>0</v>
          </cell>
          <cell r="E21">
            <v>0</v>
          </cell>
          <cell r="F21">
            <v>0</v>
          </cell>
          <cell r="G21">
            <v>0</v>
          </cell>
        </row>
        <row r="22">
          <cell r="A22" t="str">
            <v>State 1</v>
          </cell>
          <cell r="D22">
            <v>0</v>
          </cell>
          <cell r="E22">
            <v>0</v>
          </cell>
          <cell r="F22">
            <v>0</v>
          </cell>
          <cell r="G22">
            <v>0</v>
          </cell>
        </row>
        <row r="23">
          <cell r="A23" t="str">
            <v>State 2</v>
          </cell>
          <cell r="D23">
            <v>0</v>
          </cell>
          <cell r="E23">
            <v>0</v>
          </cell>
          <cell r="F23">
            <v>0</v>
          </cell>
          <cell r="G23">
            <v>0</v>
          </cell>
        </row>
        <row r="24">
          <cell r="A24" t="str">
            <v>State 3</v>
          </cell>
          <cell r="D24">
            <v>0</v>
          </cell>
          <cell r="E24">
            <v>0</v>
          </cell>
          <cell r="F24">
            <v>0</v>
          </cell>
          <cell r="G24">
            <v>0</v>
          </cell>
        </row>
        <row r="25">
          <cell r="A25" t="str">
            <v>State 4</v>
          </cell>
          <cell r="D25">
            <v>0</v>
          </cell>
          <cell r="E25">
            <v>0</v>
          </cell>
          <cell r="F25">
            <v>0</v>
          </cell>
          <cell r="G25">
            <v>0</v>
          </cell>
        </row>
        <row r="26">
          <cell r="A26" t="str">
            <v>State 5</v>
          </cell>
          <cell r="D26">
            <v>0</v>
          </cell>
          <cell r="E26">
            <v>0</v>
          </cell>
          <cell r="F26">
            <v>0</v>
          </cell>
          <cell r="G26">
            <v>0</v>
          </cell>
        </row>
        <row r="27">
          <cell r="A27" t="str">
            <v>State 6</v>
          </cell>
          <cell r="D27">
            <v>0</v>
          </cell>
          <cell r="E27">
            <v>0</v>
          </cell>
          <cell r="F27">
            <v>0</v>
          </cell>
          <cell r="G27">
            <v>0</v>
          </cell>
        </row>
        <row r="28">
          <cell r="A28" t="str">
            <v>Unplugged</v>
          </cell>
          <cell r="D28">
            <v>0</v>
          </cell>
          <cell r="E28">
            <v>0</v>
          </cell>
          <cell r="F28">
            <v>0</v>
          </cell>
          <cell r="G28">
            <v>0</v>
          </cell>
        </row>
        <row r="29">
          <cell r="A29">
            <v>0</v>
          </cell>
          <cell r="D29">
            <v>0</v>
          </cell>
          <cell r="E29">
            <v>0</v>
          </cell>
          <cell r="F29">
            <v>0</v>
          </cell>
          <cell r="G29">
            <v>0</v>
          </cell>
        </row>
        <row r="30">
          <cell r="A30" t="str">
            <v>Baby monitors</v>
          </cell>
          <cell r="D30">
            <v>0</v>
          </cell>
          <cell r="E30">
            <v>0</v>
          </cell>
          <cell r="F30">
            <v>0</v>
          </cell>
          <cell r="G30">
            <v>0</v>
          </cell>
        </row>
        <row r="31">
          <cell r="A31" t="str">
            <v>State 1</v>
          </cell>
          <cell r="D31">
            <v>0</v>
          </cell>
          <cell r="E31">
            <v>0</v>
          </cell>
          <cell r="F31">
            <v>0</v>
          </cell>
          <cell r="G31">
            <v>0</v>
          </cell>
        </row>
        <row r="32">
          <cell r="A32" t="str">
            <v>State 2</v>
          </cell>
          <cell r="D32">
            <v>0</v>
          </cell>
          <cell r="E32">
            <v>0</v>
          </cell>
          <cell r="F32">
            <v>0</v>
          </cell>
          <cell r="G32">
            <v>0</v>
          </cell>
        </row>
        <row r="33">
          <cell r="A33" t="str">
            <v>State 3</v>
          </cell>
          <cell r="D33">
            <v>0</v>
          </cell>
          <cell r="E33">
            <v>0</v>
          </cell>
          <cell r="F33">
            <v>0</v>
          </cell>
          <cell r="G33">
            <v>0</v>
          </cell>
        </row>
        <row r="34">
          <cell r="A34" t="str">
            <v>State 4</v>
          </cell>
          <cell r="D34">
            <v>0</v>
          </cell>
          <cell r="E34">
            <v>0</v>
          </cell>
          <cell r="F34">
            <v>0</v>
          </cell>
          <cell r="G34">
            <v>0</v>
          </cell>
        </row>
        <row r="35">
          <cell r="A35" t="str">
            <v>State 5</v>
          </cell>
          <cell r="D35">
            <v>0</v>
          </cell>
          <cell r="E35">
            <v>0</v>
          </cell>
          <cell r="F35">
            <v>0</v>
          </cell>
          <cell r="G35">
            <v>0</v>
          </cell>
        </row>
        <row r="36">
          <cell r="A36" t="str">
            <v>State 6</v>
          </cell>
          <cell r="D36">
            <v>0</v>
          </cell>
          <cell r="E36">
            <v>0</v>
          </cell>
          <cell r="F36">
            <v>0</v>
          </cell>
          <cell r="G36">
            <v>0</v>
          </cell>
        </row>
        <row r="37">
          <cell r="A37" t="str">
            <v>Unplugged</v>
          </cell>
          <cell r="D37">
            <v>0</v>
          </cell>
          <cell r="E37">
            <v>0</v>
          </cell>
          <cell r="F37">
            <v>0</v>
          </cell>
          <cell r="G37">
            <v>0</v>
          </cell>
        </row>
        <row r="38">
          <cell r="A38">
            <v>0</v>
          </cell>
          <cell r="D38">
            <v>0</v>
          </cell>
          <cell r="E38">
            <v>0</v>
          </cell>
          <cell r="F38">
            <v>0</v>
          </cell>
          <cell r="G38">
            <v>0</v>
          </cell>
        </row>
        <row r="39">
          <cell r="A39" t="str">
            <v>Bluetooth headsets</v>
          </cell>
          <cell r="D39">
            <v>0</v>
          </cell>
          <cell r="E39">
            <v>0</v>
          </cell>
          <cell r="F39">
            <v>0</v>
          </cell>
          <cell r="G39">
            <v>0</v>
          </cell>
        </row>
        <row r="40">
          <cell r="A40" t="str">
            <v>State 1</v>
          </cell>
          <cell r="D40">
            <v>0</v>
          </cell>
          <cell r="E40">
            <v>0</v>
          </cell>
          <cell r="F40">
            <v>0</v>
          </cell>
          <cell r="G40">
            <v>0</v>
          </cell>
        </row>
        <row r="41">
          <cell r="A41" t="str">
            <v>State 2</v>
          </cell>
          <cell r="D41">
            <v>0</v>
          </cell>
          <cell r="E41">
            <v>0</v>
          </cell>
          <cell r="F41">
            <v>0</v>
          </cell>
          <cell r="G41">
            <v>0</v>
          </cell>
        </row>
        <row r="42">
          <cell r="A42" t="str">
            <v>State 3</v>
          </cell>
          <cell r="D42">
            <v>0</v>
          </cell>
          <cell r="E42">
            <v>0</v>
          </cell>
          <cell r="F42">
            <v>0</v>
          </cell>
          <cell r="G42">
            <v>0</v>
          </cell>
        </row>
        <row r="43">
          <cell r="A43" t="str">
            <v>State 4</v>
          </cell>
          <cell r="D43">
            <v>0</v>
          </cell>
          <cell r="E43">
            <v>0</v>
          </cell>
          <cell r="F43">
            <v>0</v>
          </cell>
          <cell r="G43">
            <v>0</v>
          </cell>
        </row>
        <row r="44">
          <cell r="A44" t="str">
            <v>State 5</v>
          </cell>
          <cell r="D44">
            <v>0</v>
          </cell>
          <cell r="E44">
            <v>0</v>
          </cell>
          <cell r="F44">
            <v>0</v>
          </cell>
          <cell r="G44">
            <v>0</v>
          </cell>
        </row>
        <row r="45">
          <cell r="A45" t="str">
            <v>State 6</v>
          </cell>
          <cell r="D45">
            <v>0</v>
          </cell>
          <cell r="E45">
            <v>0</v>
          </cell>
          <cell r="F45">
            <v>0</v>
          </cell>
          <cell r="G45">
            <v>0</v>
          </cell>
        </row>
        <row r="46">
          <cell r="A46" t="str">
            <v>Unplugged</v>
          </cell>
          <cell r="D46">
            <v>0</v>
          </cell>
          <cell r="E46">
            <v>0</v>
          </cell>
          <cell r="F46">
            <v>0</v>
          </cell>
          <cell r="G46">
            <v>0</v>
          </cell>
        </row>
        <row r="47">
          <cell r="A47">
            <v>0</v>
          </cell>
          <cell r="D47">
            <v>0</v>
          </cell>
          <cell r="E47">
            <v>0</v>
          </cell>
          <cell r="F47">
            <v>0</v>
          </cell>
          <cell r="G47">
            <v>0</v>
          </cell>
        </row>
        <row r="48">
          <cell r="A48" t="str">
            <v>Caller ID devices</v>
          </cell>
          <cell r="D48">
            <v>0</v>
          </cell>
          <cell r="E48">
            <v>0</v>
          </cell>
          <cell r="F48">
            <v>0</v>
          </cell>
          <cell r="G48">
            <v>0</v>
          </cell>
        </row>
        <row r="49">
          <cell r="A49" t="str">
            <v>State 1</v>
          </cell>
          <cell r="D49">
            <v>0</v>
          </cell>
          <cell r="E49">
            <v>0</v>
          </cell>
          <cell r="F49">
            <v>0</v>
          </cell>
          <cell r="G49">
            <v>0</v>
          </cell>
        </row>
        <row r="50">
          <cell r="A50" t="str">
            <v>State 2</v>
          </cell>
          <cell r="D50">
            <v>0</v>
          </cell>
          <cell r="E50">
            <v>0</v>
          </cell>
          <cell r="F50">
            <v>0</v>
          </cell>
          <cell r="G50">
            <v>0</v>
          </cell>
        </row>
        <row r="51">
          <cell r="A51" t="str">
            <v>State 3</v>
          </cell>
          <cell r="D51">
            <v>0</v>
          </cell>
          <cell r="E51">
            <v>0</v>
          </cell>
          <cell r="F51">
            <v>0</v>
          </cell>
          <cell r="G51">
            <v>0</v>
          </cell>
        </row>
        <row r="52">
          <cell r="A52" t="str">
            <v>State 4</v>
          </cell>
          <cell r="D52">
            <v>0</v>
          </cell>
          <cell r="E52">
            <v>0</v>
          </cell>
          <cell r="F52">
            <v>0</v>
          </cell>
          <cell r="G52">
            <v>0</v>
          </cell>
        </row>
        <row r="53">
          <cell r="A53" t="str">
            <v>State 5</v>
          </cell>
          <cell r="D53">
            <v>0</v>
          </cell>
          <cell r="E53">
            <v>0</v>
          </cell>
          <cell r="F53">
            <v>0</v>
          </cell>
          <cell r="G53">
            <v>0</v>
          </cell>
        </row>
        <row r="54">
          <cell r="A54" t="str">
            <v>State 6</v>
          </cell>
          <cell r="D54">
            <v>0</v>
          </cell>
          <cell r="E54">
            <v>0</v>
          </cell>
          <cell r="F54">
            <v>0</v>
          </cell>
          <cell r="G54">
            <v>0</v>
          </cell>
        </row>
        <row r="55">
          <cell r="A55" t="str">
            <v>Unplugged</v>
          </cell>
          <cell r="D55">
            <v>0</v>
          </cell>
          <cell r="E55">
            <v>0</v>
          </cell>
          <cell r="F55">
            <v>0</v>
          </cell>
          <cell r="G55">
            <v>0</v>
          </cell>
        </row>
        <row r="56">
          <cell r="A56">
            <v>0</v>
          </cell>
          <cell r="D56">
            <v>0</v>
          </cell>
          <cell r="E56">
            <v>0</v>
          </cell>
          <cell r="F56">
            <v>0</v>
          </cell>
          <cell r="G56">
            <v>0</v>
          </cell>
        </row>
        <row r="57">
          <cell r="A57" t="str">
            <v>Clock radios/other media</v>
          </cell>
          <cell r="D57">
            <v>0</v>
          </cell>
          <cell r="E57">
            <v>0</v>
          </cell>
          <cell r="F57">
            <v>0</v>
          </cell>
          <cell r="G57">
            <v>0</v>
          </cell>
        </row>
        <row r="58">
          <cell r="A58" t="str">
            <v>State 1</v>
          </cell>
          <cell r="D58">
            <v>1</v>
          </cell>
          <cell r="E58">
            <v>0</v>
          </cell>
          <cell r="F58">
            <v>0</v>
          </cell>
          <cell r="G58">
            <v>0</v>
          </cell>
        </row>
        <row r="59">
          <cell r="A59" t="str">
            <v>State 2</v>
          </cell>
          <cell r="D59">
            <v>1</v>
          </cell>
          <cell r="E59">
            <v>0</v>
          </cell>
          <cell r="F59">
            <v>0</v>
          </cell>
          <cell r="G59">
            <v>0</v>
          </cell>
        </row>
        <row r="60">
          <cell r="A60" t="str">
            <v>State 3</v>
          </cell>
          <cell r="D60">
            <v>1</v>
          </cell>
          <cell r="E60">
            <v>0</v>
          </cell>
          <cell r="F60">
            <v>0</v>
          </cell>
          <cell r="G60">
            <v>0</v>
          </cell>
        </row>
        <row r="61">
          <cell r="A61" t="str">
            <v>State 4</v>
          </cell>
          <cell r="D61">
            <v>0</v>
          </cell>
          <cell r="E61">
            <v>0</v>
          </cell>
          <cell r="F61">
            <v>0</v>
          </cell>
          <cell r="G61">
            <v>0</v>
          </cell>
        </row>
        <row r="62">
          <cell r="A62" t="str">
            <v>State 5</v>
          </cell>
          <cell r="D62">
            <v>0</v>
          </cell>
          <cell r="E62">
            <v>0</v>
          </cell>
          <cell r="F62">
            <v>0</v>
          </cell>
          <cell r="G62">
            <v>0</v>
          </cell>
        </row>
        <row r="63">
          <cell r="A63" t="str">
            <v>State 6</v>
          </cell>
          <cell r="D63">
            <v>0</v>
          </cell>
          <cell r="E63">
            <v>0</v>
          </cell>
          <cell r="F63">
            <v>0</v>
          </cell>
          <cell r="G63">
            <v>0</v>
          </cell>
        </row>
        <row r="64">
          <cell r="A64" t="str">
            <v>Unplugged</v>
          </cell>
          <cell r="D64">
            <v>0</v>
          </cell>
          <cell r="E64">
            <v>0</v>
          </cell>
          <cell r="F64">
            <v>0</v>
          </cell>
          <cell r="G64">
            <v>1</v>
          </cell>
        </row>
        <row r="65">
          <cell r="A65">
            <v>0</v>
          </cell>
          <cell r="D65">
            <v>0</v>
          </cell>
          <cell r="E65">
            <v>0</v>
          </cell>
          <cell r="F65">
            <v>0</v>
          </cell>
          <cell r="G65">
            <v>0</v>
          </cell>
        </row>
        <row r="66">
          <cell r="A66" t="str">
            <v>Computer speakers</v>
          </cell>
          <cell r="D66">
            <v>0</v>
          </cell>
          <cell r="E66">
            <v>0</v>
          </cell>
          <cell r="F66">
            <v>0</v>
          </cell>
          <cell r="G66">
            <v>0</v>
          </cell>
        </row>
        <row r="67">
          <cell r="A67" t="str">
            <v>State 1</v>
          </cell>
          <cell r="D67">
            <v>1</v>
          </cell>
          <cell r="E67">
            <v>0</v>
          </cell>
          <cell r="F67">
            <v>0</v>
          </cell>
          <cell r="G67">
            <v>0</v>
          </cell>
        </row>
        <row r="68">
          <cell r="A68" t="str">
            <v>State 2</v>
          </cell>
          <cell r="D68">
            <v>0</v>
          </cell>
          <cell r="E68">
            <v>0</v>
          </cell>
          <cell r="F68">
            <v>0</v>
          </cell>
          <cell r="G68">
            <v>0</v>
          </cell>
        </row>
        <row r="69">
          <cell r="A69" t="str">
            <v>State 3</v>
          </cell>
          <cell r="D69">
            <v>1</v>
          </cell>
          <cell r="E69">
            <v>0</v>
          </cell>
          <cell r="F69">
            <v>0</v>
          </cell>
          <cell r="G69">
            <v>0</v>
          </cell>
        </row>
        <row r="70">
          <cell r="A70" t="str">
            <v>State 4</v>
          </cell>
          <cell r="D70">
            <v>0</v>
          </cell>
          <cell r="E70">
            <v>0</v>
          </cell>
          <cell r="F70">
            <v>0</v>
          </cell>
          <cell r="G70">
            <v>0</v>
          </cell>
        </row>
        <row r="71">
          <cell r="A71" t="str">
            <v>State 5</v>
          </cell>
          <cell r="D71">
            <v>0</v>
          </cell>
          <cell r="E71">
            <v>0</v>
          </cell>
          <cell r="F71">
            <v>0</v>
          </cell>
          <cell r="G71">
            <v>0</v>
          </cell>
        </row>
        <row r="72">
          <cell r="A72" t="str">
            <v>State 6</v>
          </cell>
          <cell r="D72">
            <v>0</v>
          </cell>
          <cell r="E72">
            <v>0</v>
          </cell>
          <cell r="F72">
            <v>0</v>
          </cell>
          <cell r="G72">
            <v>0</v>
          </cell>
        </row>
        <row r="73">
          <cell r="A73" t="str">
            <v>Unplugged</v>
          </cell>
          <cell r="D73">
            <v>0</v>
          </cell>
          <cell r="E73">
            <v>0</v>
          </cell>
          <cell r="F73">
            <v>0</v>
          </cell>
          <cell r="G73">
            <v>1</v>
          </cell>
        </row>
        <row r="74">
          <cell r="A74">
            <v>0</v>
          </cell>
          <cell r="D74">
            <v>0</v>
          </cell>
          <cell r="E74">
            <v>0</v>
          </cell>
          <cell r="F74">
            <v>0</v>
          </cell>
          <cell r="G74">
            <v>0</v>
          </cell>
        </row>
        <row r="75">
          <cell r="A75" t="str">
            <v>Consumer Two-Way Radios</v>
          </cell>
          <cell r="D75">
            <v>0</v>
          </cell>
          <cell r="E75">
            <v>0</v>
          </cell>
          <cell r="F75">
            <v>0</v>
          </cell>
          <cell r="G75">
            <v>0</v>
          </cell>
        </row>
        <row r="76">
          <cell r="A76" t="str">
            <v>State 1</v>
          </cell>
          <cell r="D76">
            <v>0</v>
          </cell>
          <cell r="E76">
            <v>0</v>
          </cell>
          <cell r="F76">
            <v>0</v>
          </cell>
          <cell r="G76">
            <v>0</v>
          </cell>
        </row>
        <row r="77">
          <cell r="A77" t="str">
            <v>State 2</v>
          </cell>
          <cell r="D77">
            <v>0</v>
          </cell>
          <cell r="E77">
            <v>0</v>
          </cell>
          <cell r="F77">
            <v>0</v>
          </cell>
          <cell r="G77">
            <v>0</v>
          </cell>
        </row>
        <row r="78">
          <cell r="A78" t="str">
            <v>State 3</v>
          </cell>
          <cell r="D78">
            <v>0</v>
          </cell>
          <cell r="E78">
            <v>0</v>
          </cell>
          <cell r="F78">
            <v>0</v>
          </cell>
          <cell r="G78">
            <v>0</v>
          </cell>
        </row>
        <row r="79">
          <cell r="A79" t="str">
            <v>State 4</v>
          </cell>
          <cell r="D79">
            <v>0</v>
          </cell>
          <cell r="E79">
            <v>0</v>
          </cell>
          <cell r="F79">
            <v>0</v>
          </cell>
          <cell r="G79">
            <v>0</v>
          </cell>
        </row>
        <row r="80">
          <cell r="A80" t="str">
            <v>State 5</v>
          </cell>
          <cell r="D80">
            <v>0</v>
          </cell>
          <cell r="E80">
            <v>0</v>
          </cell>
          <cell r="F80">
            <v>0</v>
          </cell>
          <cell r="G80">
            <v>0</v>
          </cell>
        </row>
        <row r="81">
          <cell r="A81" t="str">
            <v>State 6</v>
          </cell>
          <cell r="D81">
            <v>0</v>
          </cell>
          <cell r="E81">
            <v>0</v>
          </cell>
          <cell r="F81">
            <v>0</v>
          </cell>
          <cell r="G81">
            <v>0</v>
          </cell>
        </row>
        <row r="82">
          <cell r="A82" t="str">
            <v>Unplugged</v>
          </cell>
          <cell r="D82">
            <v>0</v>
          </cell>
          <cell r="E82">
            <v>0</v>
          </cell>
          <cell r="F82">
            <v>0</v>
          </cell>
          <cell r="G82">
            <v>0</v>
          </cell>
        </row>
        <row r="83">
          <cell r="A83">
            <v>0</v>
          </cell>
          <cell r="D83">
            <v>0</v>
          </cell>
          <cell r="E83">
            <v>0</v>
          </cell>
          <cell r="F83">
            <v>0</v>
          </cell>
          <cell r="G83">
            <v>0</v>
          </cell>
        </row>
        <row r="84">
          <cell r="A84" t="str">
            <v>Cordless massagers</v>
          </cell>
          <cell r="D84">
            <v>0</v>
          </cell>
          <cell r="E84">
            <v>0</v>
          </cell>
          <cell r="F84">
            <v>0</v>
          </cell>
          <cell r="G84">
            <v>0</v>
          </cell>
        </row>
        <row r="85">
          <cell r="A85" t="str">
            <v>State 1</v>
          </cell>
          <cell r="D85">
            <v>0</v>
          </cell>
          <cell r="E85">
            <v>0</v>
          </cell>
          <cell r="F85">
            <v>0</v>
          </cell>
          <cell r="G85">
            <v>0</v>
          </cell>
        </row>
        <row r="86">
          <cell r="A86" t="str">
            <v>State 2</v>
          </cell>
          <cell r="D86">
            <v>0</v>
          </cell>
          <cell r="E86">
            <v>0</v>
          </cell>
          <cell r="F86">
            <v>0</v>
          </cell>
          <cell r="G86">
            <v>0</v>
          </cell>
        </row>
        <row r="87">
          <cell r="A87" t="str">
            <v>State 3</v>
          </cell>
          <cell r="D87">
            <v>0</v>
          </cell>
          <cell r="E87">
            <v>0</v>
          </cell>
          <cell r="F87">
            <v>0</v>
          </cell>
          <cell r="G87">
            <v>0</v>
          </cell>
        </row>
        <row r="88">
          <cell r="A88" t="str">
            <v>State 4</v>
          </cell>
          <cell r="D88">
            <v>0</v>
          </cell>
          <cell r="E88">
            <v>0</v>
          </cell>
          <cell r="F88">
            <v>0</v>
          </cell>
          <cell r="G88">
            <v>0</v>
          </cell>
        </row>
        <row r="89">
          <cell r="A89" t="str">
            <v>State 5</v>
          </cell>
          <cell r="D89">
            <v>0</v>
          </cell>
          <cell r="E89">
            <v>0</v>
          </cell>
          <cell r="F89">
            <v>0</v>
          </cell>
          <cell r="G89">
            <v>0</v>
          </cell>
        </row>
        <row r="90">
          <cell r="A90" t="str">
            <v>State 6</v>
          </cell>
          <cell r="D90">
            <v>0</v>
          </cell>
          <cell r="E90">
            <v>0</v>
          </cell>
          <cell r="F90">
            <v>0</v>
          </cell>
          <cell r="G90">
            <v>0</v>
          </cell>
        </row>
        <row r="91">
          <cell r="A91" t="str">
            <v>Unplugged</v>
          </cell>
          <cell r="D91">
            <v>0</v>
          </cell>
          <cell r="E91">
            <v>0</v>
          </cell>
          <cell r="F91">
            <v>0</v>
          </cell>
          <cell r="G91">
            <v>0</v>
          </cell>
        </row>
        <row r="92">
          <cell r="A92">
            <v>0</v>
          </cell>
          <cell r="D92">
            <v>0</v>
          </cell>
          <cell r="E92">
            <v>0</v>
          </cell>
          <cell r="F92">
            <v>0</v>
          </cell>
          <cell r="G92">
            <v>0</v>
          </cell>
        </row>
        <row r="93">
          <cell r="A93" t="str">
            <v>Cordless Phone/Answering Device</v>
          </cell>
          <cell r="D93">
            <v>0</v>
          </cell>
          <cell r="E93">
            <v>0</v>
          </cell>
          <cell r="F93">
            <v>0</v>
          </cell>
          <cell r="G93">
            <v>0</v>
          </cell>
        </row>
        <row r="94">
          <cell r="A94" t="str">
            <v>State 1</v>
          </cell>
          <cell r="D94">
            <v>1</v>
          </cell>
          <cell r="E94">
            <v>0</v>
          </cell>
          <cell r="F94">
            <v>0</v>
          </cell>
          <cell r="G94">
            <v>0</v>
          </cell>
        </row>
        <row r="95">
          <cell r="A95" t="str">
            <v>State 2</v>
          </cell>
          <cell r="D95">
            <v>1</v>
          </cell>
          <cell r="E95">
            <v>0</v>
          </cell>
          <cell r="F95">
            <v>0</v>
          </cell>
          <cell r="G95">
            <v>0</v>
          </cell>
        </row>
        <row r="96">
          <cell r="A96" t="str">
            <v>State 3</v>
          </cell>
          <cell r="D96">
            <v>1</v>
          </cell>
          <cell r="E96">
            <v>0</v>
          </cell>
          <cell r="F96">
            <v>0</v>
          </cell>
          <cell r="G96">
            <v>0</v>
          </cell>
        </row>
        <row r="97">
          <cell r="A97" t="str">
            <v>State 4</v>
          </cell>
          <cell r="D97">
            <v>0</v>
          </cell>
          <cell r="E97">
            <v>0</v>
          </cell>
          <cell r="F97">
            <v>0</v>
          </cell>
          <cell r="G97">
            <v>0</v>
          </cell>
        </row>
        <row r="98">
          <cell r="A98" t="str">
            <v>State 5</v>
          </cell>
          <cell r="D98">
            <v>0</v>
          </cell>
          <cell r="E98">
            <v>0</v>
          </cell>
          <cell r="F98">
            <v>0</v>
          </cell>
          <cell r="G98">
            <v>0</v>
          </cell>
        </row>
        <row r="99">
          <cell r="A99" t="str">
            <v>State 6</v>
          </cell>
          <cell r="D99">
            <v>0</v>
          </cell>
          <cell r="E99">
            <v>0</v>
          </cell>
          <cell r="F99">
            <v>0</v>
          </cell>
          <cell r="G99">
            <v>0</v>
          </cell>
        </row>
        <row r="100">
          <cell r="A100" t="str">
            <v>Unplugged</v>
          </cell>
          <cell r="D100">
            <v>0</v>
          </cell>
          <cell r="E100">
            <v>0</v>
          </cell>
          <cell r="F100">
            <v>0</v>
          </cell>
          <cell r="G100">
            <v>1</v>
          </cell>
        </row>
        <row r="101">
          <cell r="A101">
            <v>0</v>
          </cell>
          <cell r="D101">
            <v>0</v>
          </cell>
          <cell r="E101">
            <v>0</v>
          </cell>
          <cell r="F101">
            <v>0</v>
          </cell>
          <cell r="G101">
            <v>0</v>
          </cell>
        </row>
        <row r="102">
          <cell r="A102" t="str">
            <v>Cordless Phones</v>
          </cell>
          <cell r="D102">
            <v>0</v>
          </cell>
          <cell r="E102">
            <v>0</v>
          </cell>
          <cell r="F102">
            <v>0</v>
          </cell>
          <cell r="G102">
            <v>0</v>
          </cell>
        </row>
        <row r="103">
          <cell r="A103" t="str">
            <v>State 1</v>
          </cell>
          <cell r="D103">
            <v>1</v>
          </cell>
          <cell r="E103">
            <v>0</v>
          </cell>
          <cell r="F103">
            <v>0</v>
          </cell>
          <cell r="G103">
            <v>0</v>
          </cell>
        </row>
        <row r="104">
          <cell r="A104" t="str">
            <v>State 2</v>
          </cell>
          <cell r="D104">
            <v>1</v>
          </cell>
          <cell r="E104">
            <v>0</v>
          </cell>
          <cell r="F104">
            <v>0</v>
          </cell>
          <cell r="G104">
            <v>0</v>
          </cell>
        </row>
        <row r="105">
          <cell r="A105" t="str">
            <v>State 3</v>
          </cell>
          <cell r="D105">
            <v>1</v>
          </cell>
          <cell r="E105">
            <v>0</v>
          </cell>
          <cell r="F105">
            <v>0</v>
          </cell>
          <cell r="G105">
            <v>0</v>
          </cell>
        </row>
        <row r="106">
          <cell r="A106" t="str">
            <v>State 4</v>
          </cell>
          <cell r="D106">
            <v>0</v>
          </cell>
          <cell r="E106">
            <v>0</v>
          </cell>
          <cell r="F106">
            <v>0</v>
          </cell>
          <cell r="G106">
            <v>0</v>
          </cell>
        </row>
        <row r="107">
          <cell r="A107" t="str">
            <v>State 5</v>
          </cell>
          <cell r="D107">
            <v>0</v>
          </cell>
          <cell r="E107">
            <v>0</v>
          </cell>
          <cell r="F107">
            <v>0</v>
          </cell>
          <cell r="G107">
            <v>0</v>
          </cell>
        </row>
        <row r="108">
          <cell r="A108" t="str">
            <v>State 6</v>
          </cell>
          <cell r="D108">
            <v>0</v>
          </cell>
          <cell r="E108">
            <v>0</v>
          </cell>
          <cell r="F108">
            <v>0</v>
          </cell>
          <cell r="G108">
            <v>0</v>
          </cell>
        </row>
        <row r="109">
          <cell r="A109" t="str">
            <v>Unplugged</v>
          </cell>
          <cell r="D109">
            <v>0</v>
          </cell>
          <cell r="E109">
            <v>0</v>
          </cell>
          <cell r="F109">
            <v>0</v>
          </cell>
          <cell r="G109">
            <v>1</v>
          </cell>
        </row>
        <row r="110">
          <cell r="A110">
            <v>0</v>
          </cell>
          <cell r="D110">
            <v>0</v>
          </cell>
          <cell r="E110">
            <v>0</v>
          </cell>
          <cell r="F110">
            <v>0</v>
          </cell>
          <cell r="G110">
            <v>0</v>
          </cell>
        </row>
        <row r="111">
          <cell r="A111" t="str">
            <v>Cordless rechargeable beard and mustache trimmers</v>
          </cell>
          <cell r="D111">
            <v>0</v>
          </cell>
          <cell r="E111">
            <v>0</v>
          </cell>
          <cell r="F111">
            <v>0</v>
          </cell>
          <cell r="G111">
            <v>0</v>
          </cell>
        </row>
        <row r="112">
          <cell r="A112" t="str">
            <v>State 1</v>
          </cell>
          <cell r="D112">
            <v>0</v>
          </cell>
          <cell r="E112">
            <v>0</v>
          </cell>
          <cell r="F112">
            <v>0</v>
          </cell>
          <cell r="G112">
            <v>0</v>
          </cell>
        </row>
        <row r="113">
          <cell r="A113" t="str">
            <v>State 2</v>
          </cell>
          <cell r="D113">
            <v>0</v>
          </cell>
          <cell r="E113">
            <v>0</v>
          </cell>
          <cell r="F113">
            <v>0</v>
          </cell>
          <cell r="G113">
            <v>0</v>
          </cell>
        </row>
        <row r="114">
          <cell r="A114" t="str">
            <v>State 3</v>
          </cell>
          <cell r="D114">
            <v>0</v>
          </cell>
          <cell r="E114">
            <v>0</v>
          </cell>
          <cell r="F114">
            <v>0</v>
          </cell>
          <cell r="G114">
            <v>0</v>
          </cell>
        </row>
        <row r="115">
          <cell r="A115" t="str">
            <v>State 4</v>
          </cell>
          <cell r="D115">
            <v>0</v>
          </cell>
          <cell r="E115">
            <v>0</v>
          </cell>
          <cell r="F115">
            <v>0</v>
          </cell>
          <cell r="G115">
            <v>0</v>
          </cell>
        </row>
        <row r="116">
          <cell r="A116" t="str">
            <v>State 5</v>
          </cell>
          <cell r="D116">
            <v>0</v>
          </cell>
          <cell r="E116">
            <v>0</v>
          </cell>
          <cell r="F116">
            <v>0</v>
          </cell>
          <cell r="G116">
            <v>0</v>
          </cell>
        </row>
        <row r="117">
          <cell r="A117" t="str">
            <v>State 6</v>
          </cell>
          <cell r="D117">
            <v>0</v>
          </cell>
          <cell r="E117">
            <v>0</v>
          </cell>
          <cell r="F117">
            <v>0</v>
          </cell>
          <cell r="G117">
            <v>0</v>
          </cell>
        </row>
        <row r="118">
          <cell r="A118" t="str">
            <v>Unplugged</v>
          </cell>
          <cell r="D118">
            <v>0</v>
          </cell>
          <cell r="E118">
            <v>0</v>
          </cell>
          <cell r="F118">
            <v>0</v>
          </cell>
          <cell r="G118">
            <v>0</v>
          </cell>
        </row>
        <row r="119">
          <cell r="A119">
            <v>0</v>
          </cell>
          <cell r="D119">
            <v>0</v>
          </cell>
          <cell r="E119">
            <v>0</v>
          </cell>
          <cell r="F119">
            <v>0</v>
          </cell>
          <cell r="G119">
            <v>0</v>
          </cell>
        </row>
        <row r="120">
          <cell r="A120" t="str">
            <v>Cordless rechargeable blenders</v>
          </cell>
          <cell r="D120">
            <v>0</v>
          </cell>
          <cell r="E120">
            <v>0</v>
          </cell>
          <cell r="F120">
            <v>0</v>
          </cell>
          <cell r="G120">
            <v>0</v>
          </cell>
        </row>
        <row r="121">
          <cell r="A121" t="str">
            <v>State 1</v>
          </cell>
          <cell r="D121">
            <v>0</v>
          </cell>
          <cell r="E121">
            <v>0</v>
          </cell>
          <cell r="F121">
            <v>0</v>
          </cell>
          <cell r="G121">
            <v>0</v>
          </cell>
        </row>
        <row r="122">
          <cell r="A122" t="str">
            <v>State 2</v>
          </cell>
          <cell r="D122">
            <v>0</v>
          </cell>
          <cell r="E122">
            <v>0</v>
          </cell>
          <cell r="F122">
            <v>0</v>
          </cell>
          <cell r="G122">
            <v>0</v>
          </cell>
        </row>
        <row r="123">
          <cell r="A123" t="str">
            <v>State 3</v>
          </cell>
          <cell r="D123">
            <v>0</v>
          </cell>
          <cell r="E123">
            <v>0</v>
          </cell>
          <cell r="F123">
            <v>0</v>
          </cell>
          <cell r="G123">
            <v>0</v>
          </cell>
        </row>
        <row r="124">
          <cell r="A124" t="str">
            <v>State 4</v>
          </cell>
          <cell r="D124">
            <v>0</v>
          </cell>
          <cell r="E124">
            <v>0</v>
          </cell>
          <cell r="F124">
            <v>0</v>
          </cell>
          <cell r="G124">
            <v>0</v>
          </cell>
        </row>
        <row r="125">
          <cell r="A125" t="str">
            <v>State 5</v>
          </cell>
          <cell r="D125">
            <v>0</v>
          </cell>
          <cell r="E125">
            <v>0</v>
          </cell>
          <cell r="F125">
            <v>0</v>
          </cell>
          <cell r="G125">
            <v>0</v>
          </cell>
        </row>
        <row r="126">
          <cell r="A126" t="str">
            <v>State 6</v>
          </cell>
          <cell r="D126">
            <v>0</v>
          </cell>
          <cell r="E126">
            <v>0</v>
          </cell>
          <cell r="F126">
            <v>0</v>
          </cell>
          <cell r="G126">
            <v>0</v>
          </cell>
        </row>
        <row r="127">
          <cell r="A127" t="str">
            <v>Unplugged</v>
          </cell>
          <cell r="D127">
            <v>0</v>
          </cell>
          <cell r="E127">
            <v>0</v>
          </cell>
          <cell r="F127">
            <v>0</v>
          </cell>
          <cell r="G127">
            <v>0</v>
          </cell>
        </row>
        <row r="128">
          <cell r="A128">
            <v>0</v>
          </cell>
          <cell r="D128">
            <v>0</v>
          </cell>
          <cell r="E128">
            <v>0</v>
          </cell>
          <cell r="F128">
            <v>0</v>
          </cell>
          <cell r="G128">
            <v>0</v>
          </cell>
        </row>
        <row r="129">
          <cell r="A129" t="str">
            <v>Cordless rechargeable can openers</v>
          </cell>
          <cell r="D129">
            <v>0</v>
          </cell>
          <cell r="E129">
            <v>0</v>
          </cell>
          <cell r="F129">
            <v>0</v>
          </cell>
          <cell r="G129">
            <v>0</v>
          </cell>
        </row>
        <row r="130">
          <cell r="A130" t="str">
            <v>State 1</v>
          </cell>
          <cell r="D130">
            <v>0</v>
          </cell>
          <cell r="E130">
            <v>0</v>
          </cell>
          <cell r="F130">
            <v>0</v>
          </cell>
          <cell r="G130">
            <v>0</v>
          </cell>
        </row>
        <row r="131">
          <cell r="A131" t="str">
            <v>State 2</v>
          </cell>
          <cell r="D131">
            <v>0</v>
          </cell>
          <cell r="E131">
            <v>0</v>
          </cell>
          <cell r="F131">
            <v>0</v>
          </cell>
          <cell r="G131">
            <v>0</v>
          </cell>
        </row>
        <row r="132">
          <cell r="A132" t="str">
            <v>State 3</v>
          </cell>
          <cell r="D132">
            <v>0</v>
          </cell>
          <cell r="E132">
            <v>0</v>
          </cell>
          <cell r="F132">
            <v>0</v>
          </cell>
          <cell r="G132">
            <v>0</v>
          </cell>
        </row>
        <row r="133">
          <cell r="A133" t="str">
            <v>State 4</v>
          </cell>
          <cell r="D133">
            <v>0</v>
          </cell>
          <cell r="E133">
            <v>0</v>
          </cell>
          <cell r="F133">
            <v>0</v>
          </cell>
          <cell r="G133">
            <v>0</v>
          </cell>
        </row>
        <row r="134">
          <cell r="A134" t="str">
            <v>State 5</v>
          </cell>
          <cell r="D134">
            <v>0</v>
          </cell>
          <cell r="E134">
            <v>0</v>
          </cell>
          <cell r="F134">
            <v>0</v>
          </cell>
          <cell r="G134">
            <v>0</v>
          </cell>
        </row>
        <row r="135">
          <cell r="A135" t="str">
            <v>State 6</v>
          </cell>
          <cell r="D135">
            <v>0</v>
          </cell>
          <cell r="E135">
            <v>0</v>
          </cell>
          <cell r="F135">
            <v>0</v>
          </cell>
          <cell r="G135">
            <v>0</v>
          </cell>
        </row>
        <row r="136">
          <cell r="A136" t="str">
            <v>Unplugged</v>
          </cell>
          <cell r="D136">
            <v>0</v>
          </cell>
          <cell r="E136">
            <v>0</v>
          </cell>
          <cell r="F136">
            <v>0</v>
          </cell>
          <cell r="G136">
            <v>0</v>
          </cell>
        </row>
        <row r="137">
          <cell r="A137">
            <v>0</v>
          </cell>
          <cell r="D137">
            <v>0</v>
          </cell>
          <cell r="E137">
            <v>0</v>
          </cell>
          <cell r="F137">
            <v>0</v>
          </cell>
          <cell r="G137">
            <v>0</v>
          </cell>
        </row>
        <row r="138">
          <cell r="A138" t="str">
            <v>Cordless rechargeable electric knives</v>
          </cell>
          <cell r="D138">
            <v>0</v>
          </cell>
          <cell r="E138">
            <v>0</v>
          </cell>
          <cell r="F138">
            <v>0</v>
          </cell>
          <cell r="G138">
            <v>0</v>
          </cell>
        </row>
        <row r="139">
          <cell r="A139" t="str">
            <v>State 1</v>
          </cell>
          <cell r="D139">
            <v>0</v>
          </cell>
          <cell r="E139">
            <v>0</v>
          </cell>
          <cell r="F139">
            <v>0</v>
          </cell>
          <cell r="G139">
            <v>0</v>
          </cell>
        </row>
        <row r="140">
          <cell r="A140" t="str">
            <v>State 2</v>
          </cell>
          <cell r="D140">
            <v>0</v>
          </cell>
          <cell r="E140">
            <v>0</v>
          </cell>
          <cell r="F140">
            <v>0</v>
          </cell>
          <cell r="G140">
            <v>0</v>
          </cell>
        </row>
        <row r="141">
          <cell r="A141" t="str">
            <v>State 3</v>
          </cell>
          <cell r="D141">
            <v>0</v>
          </cell>
          <cell r="E141">
            <v>0</v>
          </cell>
          <cell r="F141">
            <v>0</v>
          </cell>
          <cell r="G141">
            <v>0</v>
          </cell>
        </row>
        <row r="142">
          <cell r="A142" t="str">
            <v>State 4</v>
          </cell>
          <cell r="D142">
            <v>0</v>
          </cell>
          <cell r="E142">
            <v>0</v>
          </cell>
          <cell r="F142">
            <v>0</v>
          </cell>
          <cell r="G142">
            <v>0</v>
          </cell>
        </row>
        <row r="143">
          <cell r="A143" t="str">
            <v>State 5</v>
          </cell>
          <cell r="D143">
            <v>0</v>
          </cell>
          <cell r="E143">
            <v>0</v>
          </cell>
          <cell r="F143">
            <v>0</v>
          </cell>
          <cell r="G143">
            <v>0</v>
          </cell>
        </row>
        <row r="144">
          <cell r="A144" t="str">
            <v>State 6</v>
          </cell>
          <cell r="D144">
            <v>0</v>
          </cell>
          <cell r="E144">
            <v>0</v>
          </cell>
          <cell r="F144">
            <v>0</v>
          </cell>
          <cell r="G144">
            <v>0</v>
          </cell>
        </row>
        <row r="145">
          <cell r="A145" t="str">
            <v>Unplugged</v>
          </cell>
          <cell r="D145">
            <v>0</v>
          </cell>
          <cell r="E145">
            <v>0</v>
          </cell>
          <cell r="F145">
            <v>0</v>
          </cell>
          <cell r="G145">
            <v>0</v>
          </cell>
        </row>
        <row r="146">
          <cell r="A146">
            <v>0</v>
          </cell>
          <cell r="D146">
            <v>0</v>
          </cell>
          <cell r="E146">
            <v>0</v>
          </cell>
          <cell r="F146">
            <v>0</v>
          </cell>
          <cell r="G146">
            <v>0</v>
          </cell>
        </row>
        <row r="147">
          <cell r="A147" t="str">
            <v>Cordless rechargeable hair clippers</v>
          </cell>
          <cell r="D147">
            <v>0</v>
          </cell>
          <cell r="E147">
            <v>0</v>
          </cell>
          <cell r="F147">
            <v>0</v>
          </cell>
          <cell r="G147">
            <v>0</v>
          </cell>
        </row>
        <row r="148">
          <cell r="A148" t="str">
            <v>State 1</v>
          </cell>
          <cell r="D148">
            <v>0</v>
          </cell>
          <cell r="E148">
            <v>0</v>
          </cell>
          <cell r="F148">
            <v>0</v>
          </cell>
          <cell r="G148">
            <v>0</v>
          </cell>
        </row>
        <row r="149">
          <cell r="A149" t="str">
            <v>State 2</v>
          </cell>
          <cell r="D149">
            <v>0</v>
          </cell>
          <cell r="E149">
            <v>0</v>
          </cell>
          <cell r="F149">
            <v>0</v>
          </cell>
          <cell r="G149">
            <v>0</v>
          </cell>
        </row>
        <row r="150">
          <cell r="A150" t="str">
            <v>State 3</v>
          </cell>
          <cell r="D150">
            <v>0</v>
          </cell>
          <cell r="E150">
            <v>0</v>
          </cell>
          <cell r="F150">
            <v>0</v>
          </cell>
          <cell r="G150">
            <v>0</v>
          </cell>
        </row>
        <row r="151">
          <cell r="A151" t="str">
            <v>State 4</v>
          </cell>
          <cell r="D151">
            <v>0</v>
          </cell>
          <cell r="E151">
            <v>0</v>
          </cell>
          <cell r="F151">
            <v>0</v>
          </cell>
          <cell r="G151">
            <v>0</v>
          </cell>
        </row>
        <row r="152">
          <cell r="A152" t="str">
            <v>State 5</v>
          </cell>
          <cell r="D152">
            <v>0</v>
          </cell>
          <cell r="E152">
            <v>0</v>
          </cell>
          <cell r="F152">
            <v>0</v>
          </cell>
          <cell r="G152">
            <v>0</v>
          </cell>
        </row>
        <row r="153">
          <cell r="A153" t="str">
            <v>State 6</v>
          </cell>
          <cell r="D153">
            <v>0</v>
          </cell>
          <cell r="E153">
            <v>0</v>
          </cell>
          <cell r="F153">
            <v>0</v>
          </cell>
          <cell r="G153">
            <v>0</v>
          </cell>
        </row>
        <row r="154">
          <cell r="A154" t="str">
            <v>Unplugged</v>
          </cell>
          <cell r="D154">
            <v>0</v>
          </cell>
          <cell r="E154">
            <v>0</v>
          </cell>
          <cell r="F154">
            <v>0</v>
          </cell>
          <cell r="G154">
            <v>0</v>
          </cell>
        </row>
        <row r="155">
          <cell r="A155">
            <v>0</v>
          </cell>
          <cell r="D155">
            <v>0</v>
          </cell>
          <cell r="E155">
            <v>0</v>
          </cell>
          <cell r="F155">
            <v>0</v>
          </cell>
          <cell r="G155">
            <v>0</v>
          </cell>
        </row>
        <row r="156">
          <cell r="A156" t="str">
            <v>Cordless rechargeable handheld vacuums</v>
          </cell>
          <cell r="D156">
            <v>0</v>
          </cell>
          <cell r="E156">
            <v>0</v>
          </cell>
          <cell r="F156">
            <v>0</v>
          </cell>
          <cell r="G156">
            <v>0</v>
          </cell>
        </row>
        <row r="157">
          <cell r="A157" t="str">
            <v>State 1</v>
          </cell>
          <cell r="D157">
            <v>0</v>
          </cell>
          <cell r="E157">
            <v>0</v>
          </cell>
          <cell r="F157">
            <v>0</v>
          </cell>
          <cell r="G157">
            <v>0</v>
          </cell>
        </row>
        <row r="158">
          <cell r="A158" t="str">
            <v>State 2</v>
          </cell>
          <cell r="D158">
            <v>0</v>
          </cell>
          <cell r="E158">
            <v>0</v>
          </cell>
          <cell r="F158">
            <v>0</v>
          </cell>
          <cell r="G158">
            <v>0</v>
          </cell>
        </row>
        <row r="159">
          <cell r="A159" t="str">
            <v>State 3</v>
          </cell>
          <cell r="D159">
            <v>0</v>
          </cell>
          <cell r="E159">
            <v>0</v>
          </cell>
          <cell r="F159">
            <v>0</v>
          </cell>
          <cell r="G159">
            <v>0</v>
          </cell>
        </row>
        <row r="160">
          <cell r="A160" t="str">
            <v>State 4</v>
          </cell>
          <cell r="D160">
            <v>0</v>
          </cell>
          <cell r="E160">
            <v>0</v>
          </cell>
          <cell r="F160">
            <v>0</v>
          </cell>
          <cell r="G160">
            <v>0</v>
          </cell>
        </row>
        <row r="161">
          <cell r="A161" t="str">
            <v>State 5</v>
          </cell>
          <cell r="D161">
            <v>0</v>
          </cell>
          <cell r="E161">
            <v>0</v>
          </cell>
          <cell r="F161">
            <v>0</v>
          </cell>
          <cell r="G161">
            <v>0</v>
          </cell>
        </row>
        <row r="162">
          <cell r="A162" t="str">
            <v>State 6</v>
          </cell>
          <cell r="D162">
            <v>0</v>
          </cell>
          <cell r="E162">
            <v>0</v>
          </cell>
          <cell r="F162">
            <v>0</v>
          </cell>
          <cell r="G162">
            <v>0</v>
          </cell>
        </row>
        <row r="163">
          <cell r="A163" t="str">
            <v>Unplugged</v>
          </cell>
          <cell r="D163">
            <v>0</v>
          </cell>
          <cell r="E163">
            <v>0</v>
          </cell>
          <cell r="F163">
            <v>0</v>
          </cell>
          <cell r="G163">
            <v>0</v>
          </cell>
        </row>
        <row r="164">
          <cell r="A164">
            <v>0</v>
          </cell>
          <cell r="D164">
            <v>0</v>
          </cell>
          <cell r="E164">
            <v>0</v>
          </cell>
          <cell r="F164">
            <v>0</v>
          </cell>
          <cell r="G164">
            <v>0</v>
          </cell>
        </row>
        <row r="165">
          <cell r="A165" t="str">
            <v>Cordless rechargeable hedge trimmers</v>
          </cell>
          <cell r="D165">
            <v>0</v>
          </cell>
          <cell r="E165">
            <v>0</v>
          </cell>
          <cell r="F165">
            <v>0</v>
          </cell>
          <cell r="G165">
            <v>0</v>
          </cell>
        </row>
        <row r="166">
          <cell r="A166" t="str">
            <v>State 1</v>
          </cell>
          <cell r="D166">
            <v>0</v>
          </cell>
          <cell r="E166">
            <v>0</v>
          </cell>
          <cell r="F166">
            <v>0</v>
          </cell>
          <cell r="G166">
            <v>0</v>
          </cell>
        </row>
        <row r="167">
          <cell r="A167" t="str">
            <v>State 2</v>
          </cell>
          <cell r="D167">
            <v>0</v>
          </cell>
          <cell r="E167">
            <v>0</v>
          </cell>
          <cell r="F167">
            <v>0</v>
          </cell>
          <cell r="G167">
            <v>0</v>
          </cell>
        </row>
        <row r="168">
          <cell r="A168" t="str">
            <v>State 3</v>
          </cell>
          <cell r="D168">
            <v>0</v>
          </cell>
          <cell r="E168">
            <v>0</v>
          </cell>
          <cell r="F168">
            <v>0</v>
          </cell>
          <cell r="G168">
            <v>0</v>
          </cell>
        </row>
        <row r="169">
          <cell r="A169" t="str">
            <v>State 4</v>
          </cell>
          <cell r="D169">
            <v>0</v>
          </cell>
          <cell r="E169">
            <v>0</v>
          </cell>
          <cell r="F169">
            <v>0</v>
          </cell>
          <cell r="G169">
            <v>0</v>
          </cell>
        </row>
        <row r="170">
          <cell r="A170" t="str">
            <v>State 5</v>
          </cell>
          <cell r="D170">
            <v>0</v>
          </cell>
          <cell r="E170">
            <v>0</v>
          </cell>
          <cell r="F170">
            <v>0</v>
          </cell>
          <cell r="G170">
            <v>0</v>
          </cell>
        </row>
        <row r="171">
          <cell r="A171" t="str">
            <v>State 6</v>
          </cell>
          <cell r="D171">
            <v>0</v>
          </cell>
          <cell r="E171">
            <v>0</v>
          </cell>
          <cell r="F171">
            <v>0</v>
          </cell>
          <cell r="G171">
            <v>0</v>
          </cell>
        </row>
        <row r="172">
          <cell r="A172" t="str">
            <v>Unplugged</v>
          </cell>
          <cell r="D172">
            <v>0</v>
          </cell>
          <cell r="E172">
            <v>0</v>
          </cell>
          <cell r="F172">
            <v>0</v>
          </cell>
          <cell r="G172">
            <v>0</v>
          </cell>
        </row>
        <row r="173">
          <cell r="A173">
            <v>0</v>
          </cell>
          <cell r="D173">
            <v>0</v>
          </cell>
          <cell r="E173">
            <v>0</v>
          </cell>
          <cell r="F173">
            <v>0</v>
          </cell>
          <cell r="G173">
            <v>0</v>
          </cell>
        </row>
        <row r="174">
          <cell r="A174" t="str">
            <v>Cordless rechargeable mixers</v>
          </cell>
          <cell r="D174">
            <v>0</v>
          </cell>
          <cell r="E174">
            <v>0</v>
          </cell>
          <cell r="F174">
            <v>0</v>
          </cell>
          <cell r="G174">
            <v>0</v>
          </cell>
        </row>
        <row r="175">
          <cell r="A175" t="str">
            <v>State 1</v>
          </cell>
          <cell r="D175">
            <v>0</v>
          </cell>
          <cell r="E175">
            <v>0</v>
          </cell>
          <cell r="F175">
            <v>0</v>
          </cell>
          <cell r="G175">
            <v>0</v>
          </cell>
        </row>
        <row r="176">
          <cell r="A176" t="str">
            <v>State 2</v>
          </cell>
          <cell r="D176">
            <v>0</v>
          </cell>
          <cell r="E176">
            <v>0</v>
          </cell>
          <cell r="F176">
            <v>0</v>
          </cell>
          <cell r="G176">
            <v>0</v>
          </cell>
        </row>
        <row r="177">
          <cell r="A177" t="str">
            <v>State 3</v>
          </cell>
          <cell r="D177">
            <v>0</v>
          </cell>
          <cell r="E177">
            <v>0</v>
          </cell>
          <cell r="F177">
            <v>0</v>
          </cell>
          <cell r="G177">
            <v>0</v>
          </cell>
        </row>
        <row r="178">
          <cell r="A178" t="str">
            <v>State 4</v>
          </cell>
          <cell r="D178">
            <v>0</v>
          </cell>
          <cell r="E178">
            <v>0</v>
          </cell>
          <cell r="F178">
            <v>0</v>
          </cell>
          <cell r="G178">
            <v>0</v>
          </cell>
        </row>
        <row r="179">
          <cell r="A179" t="str">
            <v>State 5</v>
          </cell>
          <cell r="D179">
            <v>0</v>
          </cell>
          <cell r="E179">
            <v>0</v>
          </cell>
          <cell r="F179">
            <v>0</v>
          </cell>
          <cell r="G179">
            <v>0</v>
          </cell>
        </row>
        <row r="180">
          <cell r="A180" t="str">
            <v>State 6</v>
          </cell>
          <cell r="D180">
            <v>0</v>
          </cell>
          <cell r="E180">
            <v>0</v>
          </cell>
          <cell r="F180">
            <v>0</v>
          </cell>
          <cell r="G180">
            <v>0</v>
          </cell>
        </row>
        <row r="181">
          <cell r="A181" t="str">
            <v>Unplugged</v>
          </cell>
          <cell r="D181">
            <v>0</v>
          </cell>
          <cell r="E181">
            <v>0</v>
          </cell>
          <cell r="F181">
            <v>0</v>
          </cell>
          <cell r="G181">
            <v>0</v>
          </cell>
        </row>
        <row r="182">
          <cell r="A182">
            <v>0</v>
          </cell>
          <cell r="D182">
            <v>0</v>
          </cell>
          <cell r="E182">
            <v>0</v>
          </cell>
          <cell r="F182">
            <v>0</v>
          </cell>
          <cell r="G182">
            <v>0</v>
          </cell>
        </row>
        <row r="183">
          <cell r="A183" t="str">
            <v>Cordless rechargeable robotic vacuums</v>
          </cell>
          <cell r="D183">
            <v>0</v>
          </cell>
          <cell r="E183">
            <v>0</v>
          </cell>
          <cell r="F183">
            <v>0</v>
          </cell>
          <cell r="G183">
            <v>0</v>
          </cell>
        </row>
        <row r="184">
          <cell r="A184" t="str">
            <v>State 1</v>
          </cell>
          <cell r="D184">
            <v>0</v>
          </cell>
          <cell r="E184">
            <v>0</v>
          </cell>
          <cell r="F184">
            <v>0</v>
          </cell>
          <cell r="G184">
            <v>0</v>
          </cell>
        </row>
        <row r="185">
          <cell r="A185" t="str">
            <v>State 2</v>
          </cell>
          <cell r="D185">
            <v>0</v>
          </cell>
          <cell r="E185">
            <v>0</v>
          </cell>
          <cell r="F185">
            <v>0</v>
          </cell>
          <cell r="G185">
            <v>0</v>
          </cell>
        </row>
        <row r="186">
          <cell r="A186" t="str">
            <v>State 3</v>
          </cell>
          <cell r="D186">
            <v>0</v>
          </cell>
          <cell r="E186">
            <v>0</v>
          </cell>
          <cell r="F186">
            <v>0</v>
          </cell>
          <cell r="G186">
            <v>0</v>
          </cell>
        </row>
        <row r="187">
          <cell r="A187" t="str">
            <v>State 4</v>
          </cell>
          <cell r="D187">
            <v>0</v>
          </cell>
          <cell r="E187">
            <v>0</v>
          </cell>
          <cell r="F187">
            <v>0</v>
          </cell>
          <cell r="G187">
            <v>0</v>
          </cell>
        </row>
        <row r="188">
          <cell r="A188" t="str">
            <v>State 5</v>
          </cell>
          <cell r="D188">
            <v>0</v>
          </cell>
          <cell r="E188">
            <v>0</v>
          </cell>
          <cell r="F188">
            <v>0</v>
          </cell>
          <cell r="G188">
            <v>0</v>
          </cell>
        </row>
        <row r="189">
          <cell r="A189" t="str">
            <v>State 6</v>
          </cell>
          <cell r="D189">
            <v>0</v>
          </cell>
          <cell r="E189">
            <v>0</v>
          </cell>
          <cell r="F189">
            <v>0</v>
          </cell>
          <cell r="G189">
            <v>0</v>
          </cell>
        </row>
        <row r="190">
          <cell r="A190" t="str">
            <v>Unplugged</v>
          </cell>
          <cell r="D190">
            <v>0</v>
          </cell>
          <cell r="E190">
            <v>0</v>
          </cell>
          <cell r="F190">
            <v>0</v>
          </cell>
          <cell r="G190">
            <v>0</v>
          </cell>
        </row>
        <row r="191">
          <cell r="A191">
            <v>0</v>
          </cell>
          <cell r="D191">
            <v>0</v>
          </cell>
          <cell r="E191">
            <v>0</v>
          </cell>
          <cell r="F191">
            <v>0</v>
          </cell>
          <cell r="G191">
            <v>0</v>
          </cell>
        </row>
        <row r="192">
          <cell r="A192" t="str">
            <v>Cordless rechargeable shavers</v>
          </cell>
          <cell r="D192">
            <v>0</v>
          </cell>
          <cell r="E192">
            <v>0</v>
          </cell>
          <cell r="F192">
            <v>0</v>
          </cell>
          <cell r="G192">
            <v>0</v>
          </cell>
        </row>
        <row r="193">
          <cell r="A193" t="str">
            <v>State 1</v>
          </cell>
          <cell r="D193">
            <v>1</v>
          </cell>
          <cell r="E193">
            <v>0</v>
          </cell>
          <cell r="F193">
            <v>0</v>
          </cell>
          <cell r="G193">
            <v>0</v>
          </cell>
        </row>
        <row r="194">
          <cell r="A194" t="str">
            <v>State 2</v>
          </cell>
          <cell r="D194">
            <v>0</v>
          </cell>
          <cell r="E194">
            <v>0</v>
          </cell>
          <cell r="F194">
            <v>0</v>
          </cell>
          <cell r="G194">
            <v>0</v>
          </cell>
        </row>
        <row r="195">
          <cell r="A195" t="str">
            <v>State 3</v>
          </cell>
          <cell r="D195">
            <v>1</v>
          </cell>
          <cell r="E195">
            <v>0</v>
          </cell>
          <cell r="F195">
            <v>0</v>
          </cell>
          <cell r="G195">
            <v>0</v>
          </cell>
        </row>
        <row r="196">
          <cell r="A196" t="str">
            <v>State 4</v>
          </cell>
          <cell r="D196">
            <v>0</v>
          </cell>
          <cell r="E196">
            <v>0</v>
          </cell>
          <cell r="F196">
            <v>0</v>
          </cell>
          <cell r="G196">
            <v>0</v>
          </cell>
        </row>
        <row r="197">
          <cell r="A197" t="str">
            <v>State 5</v>
          </cell>
          <cell r="D197">
            <v>0</v>
          </cell>
          <cell r="E197">
            <v>0</v>
          </cell>
          <cell r="F197">
            <v>0</v>
          </cell>
          <cell r="G197">
            <v>0</v>
          </cell>
        </row>
        <row r="198">
          <cell r="A198" t="str">
            <v>State 6</v>
          </cell>
          <cell r="D198">
            <v>0</v>
          </cell>
          <cell r="E198">
            <v>0</v>
          </cell>
          <cell r="F198">
            <v>0</v>
          </cell>
          <cell r="G198">
            <v>0</v>
          </cell>
        </row>
        <row r="199">
          <cell r="A199" t="str">
            <v>Unplugged</v>
          </cell>
          <cell r="D199">
            <v>0</v>
          </cell>
          <cell r="E199">
            <v>0</v>
          </cell>
          <cell r="F199">
            <v>0</v>
          </cell>
          <cell r="G199">
            <v>1</v>
          </cell>
        </row>
        <row r="200">
          <cell r="A200">
            <v>0</v>
          </cell>
          <cell r="D200">
            <v>0</v>
          </cell>
          <cell r="E200">
            <v>0</v>
          </cell>
          <cell r="F200">
            <v>0</v>
          </cell>
          <cell r="G200">
            <v>0</v>
          </cell>
        </row>
        <row r="201">
          <cell r="A201" t="str">
            <v>Cordless rechargeable stick vacuums</v>
          </cell>
          <cell r="D201">
            <v>0</v>
          </cell>
          <cell r="E201">
            <v>0</v>
          </cell>
          <cell r="F201">
            <v>0</v>
          </cell>
          <cell r="G201">
            <v>0</v>
          </cell>
        </row>
        <row r="202">
          <cell r="A202" t="str">
            <v>State 1</v>
          </cell>
          <cell r="D202">
            <v>0</v>
          </cell>
          <cell r="E202">
            <v>0</v>
          </cell>
          <cell r="F202">
            <v>0</v>
          </cell>
          <cell r="G202">
            <v>0</v>
          </cell>
        </row>
        <row r="203">
          <cell r="A203" t="str">
            <v>State 2</v>
          </cell>
          <cell r="D203">
            <v>0</v>
          </cell>
          <cell r="E203">
            <v>0</v>
          </cell>
          <cell r="F203">
            <v>0</v>
          </cell>
          <cell r="G203">
            <v>0</v>
          </cell>
        </row>
        <row r="204">
          <cell r="A204" t="str">
            <v>State 3</v>
          </cell>
          <cell r="D204">
            <v>0</v>
          </cell>
          <cell r="E204">
            <v>0</v>
          </cell>
          <cell r="F204">
            <v>0</v>
          </cell>
          <cell r="G204">
            <v>0</v>
          </cell>
        </row>
        <row r="205">
          <cell r="A205" t="str">
            <v>State 4</v>
          </cell>
          <cell r="D205">
            <v>0</v>
          </cell>
          <cell r="E205">
            <v>0</v>
          </cell>
          <cell r="F205">
            <v>0</v>
          </cell>
          <cell r="G205">
            <v>0</v>
          </cell>
        </row>
        <row r="206">
          <cell r="A206" t="str">
            <v>State 5</v>
          </cell>
          <cell r="D206">
            <v>0</v>
          </cell>
          <cell r="E206">
            <v>0</v>
          </cell>
          <cell r="F206">
            <v>0</v>
          </cell>
          <cell r="G206">
            <v>0</v>
          </cell>
        </row>
        <row r="207">
          <cell r="A207" t="str">
            <v>State 6</v>
          </cell>
          <cell r="D207">
            <v>0</v>
          </cell>
          <cell r="E207">
            <v>0</v>
          </cell>
          <cell r="F207">
            <v>0</v>
          </cell>
          <cell r="G207">
            <v>0</v>
          </cell>
        </row>
        <row r="208">
          <cell r="A208" t="str">
            <v>Unplugged</v>
          </cell>
          <cell r="D208">
            <v>0</v>
          </cell>
          <cell r="E208">
            <v>0</v>
          </cell>
          <cell r="F208">
            <v>0</v>
          </cell>
          <cell r="G208">
            <v>0</v>
          </cell>
        </row>
        <row r="209">
          <cell r="A209">
            <v>0</v>
          </cell>
          <cell r="D209">
            <v>0</v>
          </cell>
          <cell r="E209">
            <v>0</v>
          </cell>
          <cell r="F209">
            <v>0</v>
          </cell>
          <cell r="G209">
            <v>0</v>
          </cell>
        </row>
        <row r="210">
          <cell r="A210" t="str">
            <v>Cordless rechargeable weed trimmers</v>
          </cell>
          <cell r="D210">
            <v>0</v>
          </cell>
          <cell r="E210">
            <v>0</v>
          </cell>
          <cell r="F210">
            <v>0</v>
          </cell>
          <cell r="G210">
            <v>0</v>
          </cell>
        </row>
        <row r="211">
          <cell r="A211" t="str">
            <v>State 1</v>
          </cell>
          <cell r="D211">
            <v>0</v>
          </cell>
          <cell r="E211">
            <v>0</v>
          </cell>
          <cell r="F211">
            <v>0</v>
          </cell>
          <cell r="G211">
            <v>0</v>
          </cell>
        </row>
        <row r="212">
          <cell r="A212" t="str">
            <v>State 2</v>
          </cell>
          <cell r="D212">
            <v>0</v>
          </cell>
          <cell r="E212">
            <v>0</v>
          </cell>
          <cell r="F212">
            <v>0</v>
          </cell>
          <cell r="G212">
            <v>0</v>
          </cell>
        </row>
        <row r="213">
          <cell r="A213" t="str">
            <v>State 3</v>
          </cell>
          <cell r="D213">
            <v>0</v>
          </cell>
          <cell r="E213">
            <v>0</v>
          </cell>
          <cell r="F213">
            <v>0</v>
          </cell>
          <cell r="G213">
            <v>0</v>
          </cell>
        </row>
        <row r="214">
          <cell r="A214" t="str">
            <v>State 4</v>
          </cell>
          <cell r="D214">
            <v>0</v>
          </cell>
          <cell r="E214">
            <v>0</v>
          </cell>
          <cell r="F214">
            <v>0</v>
          </cell>
          <cell r="G214">
            <v>0</v>
          </cell>
        </row>
        <row r="215">
          <cell r="A215" t="str">
            <v>State 5</v>
          </cell>
          <cell r="D215">
            <v>0</v>
          </cell>
          <cell r="E215">
            <v>0</v>
          </cell>
          <cell r="F215">
            <v>0</v>
          </cell>
          <cell r="G215">
            <v>0</v>
          </cell>
        </row>
        <row r="216">
          <cell r="A216" t="str">
            <v>State 6</v>
          </cell>
          <cell r="D216">
            <v>0</v>
          </cell>
          <cell r="E216">
            <v>0</v>
          </cell>
          <cell r="F216">
            <v>0</v>
          </cell>
          <cell r="G216">
            <v>0</v>
          </cell>
        </row>
        <row r="217">
          <cell r="A217" t="str">
            <v>Unplugged</v>
          </cell>
          <cell r="D217">
            <v>0</v>
          </cell>
          <cell r="E217">
            <v>0</v>
          </cell>
          <cell r="F217">
            <v>0</v>
          </cell>
          <cell r="G217">
            <v>0</v>
          </cell>
        </row>
        <row r="218">
          <cell r="A218">
            <v>0</v>
          </cell>
          <cell r="D218">
            <v>0</v>
          </cell>
          <cell r="E218">
            <v>0</v>
          </cell>
          <cell r="F218">
            <v>0</v>
          </cell>
          <cell r="G218">
            <v>0</v>
          </cell>
        </row>
        <row r="219">
          <cell r="A219" t="str">
            <v>Desktop calculators</v>
          </cell>
          <cell r="D219">
            <v>0</v>
          </cell>
          <cell r="E219">
            <v>0</v>
          </cell>
          <cell r="F219">
            <v>0</v>
          </cell>
          <cell r="G219">
            <v>0</v>
          </cell>
        </row>
        <row r="220">
          <cell r="A220" t="str">
            <v>State 1</v>
          </cell>
          <cell r="D220">
            <v>0</v>
          </cell>
          <cell r="E220">
            <v>0</v>
          </cell>
          <cell r="F220">
            <v>0</v>
          </cell>
          <cell r="G220">
            <v>0</v>
          </cell>
        </row>
        <row r="221">
          <cell r="A221" t="str">
            <v>State 2</v>
          </cell>
          <cell r="D221">
            <v>0</v>
          </cell>
          <cell r="E221">
            <v>0</v>
          </cell>
          <cell r="F221">
            <v>0</v>
          </cell>
          <cell r="G221">
            <v>0</v>
          </cell>
        </row>
        <row r="222">
          <cell r="A222" t="str">
            <v>State 3</v>
          </cell>
          <cell r="D222">
            <v>0</v>
          </cell>
          <cell r="E222">
            <v>0</v>
          </cell>
          <cell r="F222">
            <v>0</v>
          </cell>
          <cell r="G222">
            <v>0</v>
          </cell>
        </row>
        <row r="223">
          <cell r="A223" t="str">
            <v>State 4</v>
          </cell>
          <cell r="D223">
            <v>0</v>
          </cell>
          <cell r="E223">
            <v>0</v>
          </cell>
          <cell r="F223">
            <v>0</v>
          </cell>
          <cell r="G223">
            <v>0</v>
          </cell>
        </row>
        <row r="224">
          <cell r="A224" t="str">
            <v>State 5</v>
          </cell>
          <cell r="D224">
            <v>0</v>
          </cell>
          <cell r="E224">
            <v>0</v>
          </cell>
          <cell r="F224">
            <v>0</v>
          </cell>
          <cell r="G224">
            <v>0</v>
          </cell>
        </row>
        <row r="225">
          <cell r="A225" t="str">
            <v>State 6</v>
          </cell>
          <cell r="D225">
            <v>0</v>
          </cell>
          <cell r="E225">
            <v>0</v>
          </cell>
          <cell r="F225">
            <v>0</v>
          </cell>
          <cell r="G225">
            <v>0</v>
          </cell>
        </row>
        <row r="226">
          <cell r="A226" t="str">
            <v>Unplugged</v>
          </cell>
          <cell r="D226">
            <v>0</v>
          </cell>
          <cell r="E226">
            <v>0</v>
          </cell>
          <cell r="F226">
            <v>0</v>
          </cell>
          <cell r="G226">
            <v>0</v>
          </cell>
        </row>
        <row r="227">
          <cell r="A227">
            <v>0</v>
          </cell>
          <cell r="D227">
            <v>0</v>
          </cell>
          <cell r="E227">
            <v>0</v>
          </cell>
          <cell r="F227">
            <v>0</v>
          </cell>
          <cell r="G227">
            <v>0</v>
          </cell>
        </row>
        <row r="228">
          <cell r="A228" t="str">
            <v>Digital Picture Frame</v>
          </cell>
          <cell r="D228">
            <v>0</v>
          </cell>
          <cell r="E228">
            <v>0</v>
          </cell>
          <cell r="F228">
            <v>0</v>
          </cell>
          <cell r="G228">
            <v>0</v>
          </cell>
        </row>
        <row r="229">
          <cell r="A229" t="str">
            <v>State 1</v>
          </cell>
          <cell r="D229">
            <v>0</v>
          </cell>
          <cell r="E229">
            <v>0</v>
          </cell>
          <cell r="F229">
            <v>0</v>
          </cell>
          <cell r="G229">
            <v>0</v>
          </cell>
        </row>
        <row r="230">
          <cell r="A230" t="str">
            <v>State 2</v>
          </cell>
          <cell r="D230">
            <v>0</v>
          </cell>
          <cell r="E230">
            <v>0</v>
          </cell>
          <cell r="F230">
            <v>0</v>
          </cell>
          <cell r="G230">
            <v>0</v>
          </cell>
        </row>
        <row r="231">
          <cell r="A231" t="str">
            <v>State 3</v>
          </cell>
          <cell r="D231">
            <v>0</v>
          </cell>
          <cell r="E231">
            <v>0</v>
          </cell>
          <cell r="F231">
            <v>0</v>
          </cell>
          <cell r="G231">
            <v>0</v>
          </cell>
        </row>
        <row r="232">
          <cell r="A232" t="str">
            <v>State 4</v>
          </cell>
          <cell r="D232">
            <v>0</v>
          </cell>
          <cell r="E232">
            <v>0</v>
          </cell>
          <cell r="F232">
            <v>0</v>
          </cell>
          <cell r="G232">
            <v>0</v>
          </cell>
        </row>
        <row r="233">
          <cell r="A233" t="str">
            <v>State 5</v>
          </cell>
          <cell r="D233">
            <v>0</v>
          </cell>
          <cell r="E233">
            <v>0</v>
          </cell>
          <cell r="F233">
            <v>0</v>
          </cell>
          <cell r="G233">
            <v>0</v>
          </cell>
        </row>
        <row r="234">
          <cell r="A234" t="str">
            <v>State 6</v>
          </cell>
          <cell r="D234">
            <v>0</v>
          </cell>
          <cell r="E234">
            <v>0</v>
          </cell>
          <cell r="F234">
            <v>0</v>
          </cell>
          <cell r="G234">
            <v>0</v>
          </cell>
        </row>
        <row r="235">
          <cell r="A235" t="str">
            <v>Unplugged</v>
          </cell>
          <cell r="D235">
            <v>0</v>
          </cell>
          <cell r="E235">
            <v>0</v>
          </cell>
          <cell r="F235">
            <v>0</v>
          </cell>
          <cell r="G235">
            <v>0</v>
          </cell>
        </row>
        <row r="236">
          <cell r="A236">
            <v>0</v>
          </cell>
          <cell r="D236">
            <v>0</v>
          </cell>
          <cell r="E236">
            <v>0</v>
          </cell>
          <cell r="F236">
            <v>0</v>
          </cell>
          <cell r="G236">
            <v>0</v>
          </cell>
        </row>
        <row r="237">
          <cell r="A237" t="str">
            <v>DIY Power tools - external battery</v>
          </cell>
          <cell r="D237">
            <v>0</v>
          </cell>
          <cell r="E237">
            <v>0</v>
          </cell>
          <cell r="F237">
            <v>0</v>
          </cell>
          <cell r="G237">
            <v>0</v>
          </cell>
        </row>
        <row r="238">
          <cell r="A238" t="str">
            <v>State 1</v>
          </cell>
          <cell r="D238">
            <v>1</v>
          </cell>
          <cell r="E238">
            <v>0</v>
          </cell>
          <cell r="F238">
            <v>0</v>
          </cell>
          <cell r="G238">
            <v>0</v>
          </cell>
        </row>
        <row r="239">
          <cell r="A239" t="str">
            <v>State 2</v>
          </cell>
          <cell r="D239">
            <v>0</v>
          </cell>
          <cell r="E239">
            <v>0</v>
          </cell>
          <cell r="F239">
            <v>0</v>
          </cell>
          <cell r="G239">
            <v>0</v>
          </cell>
        </row>
        <row r="240">
          <cell r="A240" t="str">
            <v>State 3</v>
          </cell>
          <cell r="D240">
            <v>0</v>
          </cell>
          <cell r="E240">
            <v>1</v>
          </cell>
          <cell r="F240">
            <v>0</v>
          </cell>
          <cell r="G240">
            <v>0</v>
          </cell>
        </row>
        <row r="241">
          <cell r="A241" t="str">
            <v>State 4</v>
          </cell>
          <cell r="D241">
            <v>0</v>
          </cell>
          <cell r="E241">
            <v>0</v>
          </cell>
          <cell r="F241">
            <v>0</v>
          </cell>
          <cell r="G241">
            <v>0</v>
          </cell>
        </row>
        <row r="242">
          <cell r="A242" t="str">
            <v>State 5</v>
          </cell>
          <cell r="D242">
            <v>0</v>
          </cell>
          <cell r="E242">
            <v>0</v>
          </cell>
          <cell r="F242">
            <v>0</v>
          </cell>
          <cell r="G242">
            <v>0</v>
          </cell>
        </row>
        <row r="243">
          <cell r="A243" t="str">
            <v>State 6</v>
          </cell>
          <cell r="D243">
            <v>0</v>
          </cell>
          <cell r="E243">
            <v>0</v>
          </cell>
          <cell r="F243">
            <v>0</v>
          </cell>
          <cell r="G243">
            <v>0</v>
          </cell>
        </row>
        <row r="244">
          <cell r="A244" t="str">
            <v>Unplugged</v>
          </cell>
          <cell r="D244">
            <v>0</v>
          </cell>
          <cell r="E244">
            <v>0</v>
          </cell>
          <cell r="F244">
            <v>0</v>
          </cell>
          <cell r="G244">
            <v>1</v>
          </cell>
        </row>
        <row r="245">
          <cell r="A245">
            <v>0</v>
          </cell>
          <cell r="D245">
            <v>0</v>
          </cell>
          <cell r="E245">
            <v>0</v>
          </cell>
          <cell r="F245">
            <v>0</v>
          </cell>
          <cell r="G245">
            <v>0</v>
          </cell>
        </row>
        <row r="246">
          <cell r="A246" t="str">
            <v>DIY Power tools - integral battery</v>
          </cell>
          <cell r="D246">
            <v>0</v>
          </cell>
          <cell r="E246">
            <v>0</v>
          </cell>
          <cell r="F246">
            <v>0</v>
          </cell>
          <cell r="G246">
            <v>0</v>
          </cell>
        </row>
        <row r="247">
          <cell r="A247" t="str">
            <v>State 1</v>
          </cell>
          <cell r="D247">
            <v>1</v>
          </cell>
          <cell r="E247">
            <v>0</v>
          </cell>
          <cell r="F247">
            <v>0</v>
          </cell>
          <cell r="G247">
            <v>0</v>
          </cell>
        </row>
        <row r="248">
          <cell r="A248" t="str">
            <v>State 2</v>
          </cell>
          <cell r="D248">
            <v>0</v>
          </cell>
          <cell r="E248">
            <v>0</v>
          </cell>
          <cell r="F248">
            <v>0</v>
          </cell>
          <cell r="G248">
            <v>0</v>
          </cell>
        </row>
        <row r="249">
          <cell r="A249" t="str">
            <v>State 3</v>
          </cell>
          <cell r="D249">
            <v>0</v>
          </cell>
          <cell r="E249">
            <v>1</v>
          </cell>
          <cell r="F249">
            <v>0</v>
          </cell>
          <cell r="G249">
            <v>0</v>
          </cell>
        </row>
        <row r="250">
          <cell r="A250" t="str">
            <v>State 4</v>
          </cell>
          <cell r="D250">
            <v>0</v>
          </cell>
          <cell r="E250">
            <v>0</v>
          </cell>
          <cell r="F250">
            <v>0</v>
          </cell>
          <cell r="G250">
            <v>0</v>
          </cell>
        </row>
        <row r="251">
          <cell r="A251" t="str">
            <v>State 5</v>
          </cell>
          <cell r="D251">
            <v>0</v>
          </cell>
          <cell r="E251">
            <v>0</v>
          </cell>
          <cell r="F251">
            <v>0</v>
          </cell>
          <cell r="G251">
            <v>0</v>
          </cell>
        </row>
        <row r="252">
          <cell r="A252" t="str">
            <v>State 6</v>
          </cell>
          <cell r="D252">
            <v>0</v>
          </cell>
          <cell r="E252">
            <v>0</v>
          </cell>
          <cell r="F252">
            <v>0</v>
          </cell>
          <cell r="G252">
            <v>0</v>
          </cell>
        </row>
        <row r="253">
          <cell r="A253" t="str">
            <v>Unplugged</v>
          </cell>
          <cell r="D253">
            <v>0</v>
          </cell>
          <cell r="E253">
            <v>0</v>
          </cell>
          <cell r="F253">
            <v>0</v>
          </cell>
          <cell r="G253">
            <v>1</v>
          </cell>
        </row>
        <row r="254">
          <cell r="A254">
            <v>0</v>
          </cell>
          <cell r="D254">
            <v>0</v>
          </cell>
          <cell r="E254">
            <v>0</v>
          </cell>
          <cell r="F254">
            <v>0</v>
          </cell>
          <cell r="G254">
            <v>0</v>
          </cell>
        </row>
        <row r="255">
          <cell r="A255" t="str">
            <v>E-Books (Kindle, Kindle 2, Sony Digital Book Reader)</v>
          </cell>
          <cell r="D255">
            <v>0</v>
          </cell>
          <cell r="E255">
            <v>0</v>
          </cell>
          <cell r="F255">
            <v>0</v>
          </cell>
          <cell r="G255">
            <v>0</v>
          </cell>
        </row>
        <row r="256">
          <cell r="A256" t="str">
            <v>State 1</v>
          </cell>
          <cell r="D256">
            <v>0</v>
          </cell>
          <cell r="E256">
            <v>0</v>
          </cell>
          <cell r="F256">
            <v>0</v>
          </cell>
          <cell r="G256">
            <v>0</v>
          </cell>
        </row>
        <row r="257">
          <cell r="A257" t="str">
            <v>State 2</v>
          </cell>
          <cell r="D257">
            <v>0</v>
          </cell>
          <cell r="E257">
            <v>0</v>
          </cell>
          <cell r="F257">
            <v>0</v>
          </cell>
          <cell r="G257">
            <v>0</v>
          </cell>
        </row>
        <row r="258">
          <cell r="A258" t="str">
            <v>State 3</v>
          </cell>
          <cell r="D258">
            <v>0</v>
          </cell>
          <cell r="E258">
            <v>0</v>
          </cell>
          <cell r="F258">
            <v>0</v>
          </cell>
          <cell r="G258">
            <v>0</v>
          </cell>
        </row>
        <row r="259">
          <cell r="A259" t="str">
            <v>State 4</v>
          </cell>
          <cell r="D259">
            <v>0</v>
          </cell>
          <cell r="E259">
            <v>0</v>
          </cell>
          <cell r="F259">
            <v>0</v>
          </cell>
          <cell r="G259">
            <v>0</v>
          </cell>
        </row>
        <row r="260">
          <cell r="A260" t="str">
            <v>State 5</v>
          </cell>
          <cell r="D260">
            <v>0</v>
          </cell>
          <cell r="E260">
            <v>0</v>
          </cell>
          <cell r="F260">
            <v>0</v>
          </cell>
          <cell r="G260">
            <v>0</v>
          </cell>
        </row>
        <row r="261">
          <cell r="A261" t="str">
            <v>State 6</v>
          </cell>
          <cell r="D261">
            <v>0</v>
          </cell>
          <cell r="E261">
            <v>0</v>
          </cell>
          <cell r="F261">
            <v>0</v>
          </cell>
          <cell r="G261">
            <v>0</v>
          </cell>
        </row>
        <row r="262">
          <cell r="A262" t="str">
            <v>Unplugged</v>
          </cell>
          <cell r="D262">
            <v>0</v>
          </cell>
          <cell r="E262">
            <v>0</v>
          </cell>
          <cell r="F262">
            <v>0</v>
          </cell>
          <cell r="G262">
            <v>0</v>
          </cell>
        </row>
        <row r="263">
          <cell r="A263">
            <v>0</v>
          </cell>
          <cell r="D263">
            <v>0</v>
          </cell>
          <cell r="E263">
            <v>0</v>
          </cell>
          <cell r="F263">
            <v>0</v>
          </cell>
          <cell r="G263">
            <v>0</v>
          </cell>
        </row>
        <row r="264">
          <cell r="A264" t="str">
            <v>Electric lawn mowers (Corded)</v>
          </cell>
          <cell r="D264">
            <v>0</v>
          </cell>
          <cell r="E264">
            <v>0</v>
          </cell>
          <cell r="F264">
            <v>0</v>
          </cell>
          <cell r="G264">
            <v>0</v>
          </cell>
        </row>
        <row r="265">
          <cell r="A265" t="str">
            <v>State 1</v>
          </cell>
          <cell r="D265">
            <v>0</v>
          </cell>
          <cell r="E265">
            <v>0</v>
          </cell>
          <cell r="F265">
            <v>0</v>
          </cell>
          <cell r="G265">
            <v>0</v>
          </cell>
        </row>
        <row r="266">
          <cell r="A266" t="str">
            <v>State 2</v>
          </cell>
          <cell r="D266">
            <v>0</v>
          </cell>
          <cell r="E266">
            <v>0</v>
          </cell>
          <cell r="F266">
            <v>0</v>
          </cell>
          <cell r="G266">
            <v>0</v>
          </cell>
        </row>
        <row r="267">
          <cell r="A267" t="str">
            <v>State 3</v>
          </cell>
          <cell r="D267">
            <v>0</v>
          </cell>
          <cell r="E267">
            <v>0</v>
          </cell>
          <cell r="F267">
            <v>0</v>
          </cell>
          <cell r="G267">
            <v>0</v>
          </cell>
        </row>
        <row r="268">
          <cell r="A268" t="str">
            <v>State 4</v>
          </cell>
          <cell r="D268">
            <v>0</v>
          </cell>
          <cell r="E268">
            <v>0</v>
          </cell>
          <cell r="F268">
            <v>0</v>
          </cell>
          <cell r="G268">
            <v>0</v>
          </cell>
        </row>
        <row r="269">
          <cell r="A269" t="str">
            <v>State 5</v>
          </cell>
          <cell r="D269">
            <v>0</v>
          </cell>
          <cell r="E269">
            <v>0</v>
          </cell>
          <cell r="F269">
            <v>0</v>
          </cell>
          <cell r="G269">
            <v>0</v>
          </cell>
        </row>
        <row r="270">
          <cell r="A270" t="str">
            <v>State 6</v>
          </cell>
          <cell r="D270">
            <v>0</v>
          </cell>
          <cell r="E270">
            <v>0</v>
          </cell>
          <cell r="F270">
            <v>0</v>
          </cell>
          <cell r="G270">
            <v>0</v>
          </cell>
        </row>
        <row r="271">
          <cell r="A271" t="str">
            <v>Unplugged</v>
          </cell>
          <cell r="D271">
            <v>0</v>
          </cell>
          <cell r="E271">
            <v>0</v>
          </cell>
          <cell r="F271">
            <v>0</v>
          </cell>
          <cell r="G271">
            <v>0</v>
          </cell>
        </row>
        <row r="272">
          <cell r="A272">
            <v>0</v>
          </cell>
          <cell r="D272">
            <v>0</v>
          </cell>
          <cell r="E272">
            <v>0</v>
          </cell>
          <cell r="F272">
            <v>0</v>
          </cell>
          <cell r="G272">
            <v>0</v>
          </cell>
        </row>
        <row r="273">
          <cell r="A273" t="str">
            <v>Electric lawn mowers (Rechargeable)</v>
          </cell>
          <cell r="D273">
            <v>0</v>
          </cell>
          <cell r="E273">
            <v>0</v>
          </cell>
          <cell r="F273">
            <v>0</v>
          </cell>
          <cell r="G273">
            <v>0</v>
          </cell>
        </row>
        <row r="274">
          <cell r="A274" t="str">
            <v>State 1</v>
          </cell>
          <cell r="D274">
            <v>0</v>
          </cell>
          <cell r="E274">
            <v>0</v>
          </cell>
          <cell r="F274">
            <v>0</v>
          </cell>
          <cell r="G274">
            <v>0</v>
          </cell>
        </row>
        <row r="275">
          <cell r="A275" t="str">
            <v>State 2</v>
          </cell>
          <cell r="D275">
            <v>0</v>
          </cell>
          <cell r="E275">
            <v>0</v>
          </cell>
          <cell r="F275">
            <v>0</v>
          </cell>
          <cell r="G275">
            <v>0</v>
          </cell>
        </row>
        <row r="276">
          <cell r="A276" t="str">
            <v>State 3</v>
          </cell>
          <cell r="D276">
            <v>0</v>
          </cell>
          <cell r="E276">
            <v>0</v>
          </cell>
          <cell r="F276">
            <v>0</v>
          </cell>
          <cell r="G276">
            <v>0</v>
          </cell>
        </row>
        <row r="277">
          <cell r="A277" t="str">
            <v>State 4</v>
          </cell>
          <cell r="D277">
            <v>0</v>
          </cell>
          <cell r="E277">
            <v>0</v>
          </cell>
          <cell r="F277">
            <v>0</v>
          </cell>
          <cell r="G277">
            <v>0</v>
          </cell>
        </row>
        <row r="278">
          <cell r="A278" t="str">
            <v>State 5</v>
          </cell>
          <cell r="D278">
            <v>0</v>
          </cell>
          <cell r="E278">
            <v>0</v>
          </cell>
          <cell r="F278">
            <v>0</v>
          </cell>
          <cell r="G278">
            <v>0</v>
          </cell>
        </row>
        <row r="279">
          <cell r="A279" t="str">
            <v>State 6</v>
          </cell>
          <cell r="D279">
            <v>0</v>
          </cell>
          <cell r="E279">
            <v>0</v>
          </cell>
          <cell r="F279">
            <v>0</v>
          </cell>
          <cell r="G279">
            <v>0</v>
          </cell>
        </row>
        <row r="280">
          <cell r="A280" t="str">
            <v>Unplugged</v>
          </cell>
          <cell r="D280">
            <v>0</v>
          </cell>
          <cell r="E280">
            <v>0</v>
          </cell>
          <cell r="F280">
            <v>0</v>
          </cell>
          <cell r="G280">
            <v>0</v>
          </cell>
        </row>
        <row r="281">
          <cell r="A281">
            <v>0</v>
          </cell>
          <cell r="D281">
            <v>0</v>
          </cell>
          <cell r="E281">
            <v>0</v>
          </cell>
          <cell r="F281">
            <v>0</v>
          </cell>
          <cell r="G281">
            <v>0</v>
          </cell>
        </row>
        <row r="282">
          <cell r="A282" t="str">
            <v>Electric Wheelchairs/Scooters</v>
          </cell>
          <cell r="D282">
            <v>0</v>
          </cell>
          <cell r="E282">
            <v>0</v>
          </cell>
          <cell r="F282">
            <v>0</v>
          </cell>
          <cell r="G282">
            <v>0</v>
          </cell>
        </row>
        <row r="283">
          <cell r="A283" t="str">
            <v>State 1</v>
          </cell>
          <cell r="D283">
            <v>0</v>
          </cell>
          <cell r="E283">
            <v>0</v>
          </cell>
          <cell r="F283">
            <v>0</v>
          </cell>
          <cell r="G283">
            <v>0</v>
          </cell>
        </row>
        <row r="284">
          <cell r="A284" t="str">
            <v>State 2</v>
          </cell>
          <cell r="D284">
            <v>0</v>
          </cell>
          <cell r="E284">
            <v>0</v>
          </cell>
          <cell r="F284">
            <v>0</v>
          </cell>
          <cell r="G284">
            <v>0</v>
          </cell>
        </row>
        <row r="285">
          <cell r="A285" t="str">
            <v>State 3</v>
          </cell>
          <cell r="D285">
            <v>0</v>
          </cell>
          <cell r="E285">
            <v>0</v>
          </cell>
          <cell r="F285">
            <v>0</v>
          </cell>
          <cell r="G285">
            <v>0</v>
          </cell>
        </row>
        <row r="286">
          <cell r="A286" t="str">
            <v>State 4</v>
          </cell>
          <cell r="D286">
            <v>0</v>
          </cell>
          <cell r="E286">
            <v>0</v>
          </cell>
          <cell r="F286">
            <v>0</v>
          </cell>
          <cell r="G286">
            <v>0</v>
          </cell>
        </row>
        <row r="287">
          <cell r="A287" t="str">
            <v>State 5</v>
          </cell>
          <cell r="D287">
            <v>0</v>
          </cell>
          <cell r="E287">
            <v>0</v>
          </cell>
          <cell r="F287">
            <v>0</v>
          </cell>
          <cell r="G287">
            <v>0</v>
          </cell>
        </row>
        <row r="288">
          <cell r="A288" t="str">
            <v>State 6</v>
          </cell>
          <cell r="D288">
            <v>0</v>
          </cell>
          <cell r="E288">
            <v>0</v>
          </cell>
          <cell r="F288">
            <v>0</v>
          </cell>
          <cell r="G288">
            <v>0</v>
          </cell>
        </row>
        <row r="289">
          <cell r="A289" t="str">
            <v>Unplugged</v>
          </cell>
          <cell r="D289">
            <v>0</v>
          </cell>
          <cell r="E289">
            <v>0</v>
          </cell>
          <cell r="F289">
            <v>0</v>
          </cell>
          <cell r="G289">
            <v>0</v>
          </cell>
        </row>
        <row r="290">
          <cell r="A290">
            <v>0</v>
          </cell>
          <cell r="D290">
            <v>0</v>
          </cell>
          <cell r="E290">
            <v>0</v>
          </cell>
          <cell r="F290">
            <v>0</v>
          </cell>
          <cell r="G290">
            <v>0</v>
          </cell>
        </row>
        <row r="291">
          <cell r="A291" t="str">
            <v>Electronic musical instruments</v>
          </cell>
          <cell r="D291">
            <v>0</v>
          </cell>
          <cell r="E291">
            <v>0</v>
          </cell>
          <cell r="F291">
            <v>0</v>
          </cell>
          <cell r="G291">
            <v>0</v>
          </cell>
        </row>
        <row r="292">
          <cell r="A292" t="str">
            <v>State 1</v>
          </cell>
          <cell r="D292">
            <v>0</v>
          </cell>
          <cell r="E292">
            <v>0</v>
          </cell>
          <cell r="F292">
            <v>0</v>
          </cell>
          <cell r="G292">
            <v>0</v>
          </cell>
        </row>
        <row r="293">
          <cell r="A293" t="str">
            <v>State 2</v>
          </cell>
          <cell r="D293">
            <v>0</v>
          </cell>
          <cell r="E293">
            <v>0</v>
          </cell>
          <cell r="F293">
            <v>0</v>
          </cell>
          <cell r="G293">
            <v>0</v>
          </cell>
        </row>
        <row r="294">
          <cell r="A294" t="str">
            <v>State 3</v>
          </cell>
          <cell r="D294">
            <v>0</v>
          </cell>
          <cell r="E294">
            <v>0</v>
          </cell>
          <cell r="F294">
            <v>0</v>
          </cell>
          <cell r="G294">
            <v>0</v>
          </cell>
        </row>
        <row r="295">
          <cell r="A295" t="str">
            <v>State 4</v>
          </cell>
          <cell r="D295">
            <v>0</v>
          </cell>
          <cell r="E295">
            <v>0</v>
          </cell>
          <cell r="F295">
            <v>0</v>
          </cell>
          <cell r="G295">
            <v>0</v>
          </cell>
        </row>
        <row r="296">
          <cell r="A296" t="str">
            <v>State 5</v>
          </cell>
          <cell r="D296">
            <v>0</v>
          </cell>
          <cell r="E296">
            <v>0</v>
          </cell>
          <cell r="F296">
            <v>0</v>
          </cell>
          <cell r="G296">
            <v>0</v>
          </cell>
        </row>
        <row r="297">
          <cell r="A297" t="str">
            <v>State 6</v>
          </cell>
          <cell r="D297">
            <v>0</v>
          </cell>
          <cell r="E297">
            <v>0</v>
          </cell>
          <cell r="F297">
            <v>0</v>
          </cell>
          <cell r="G297">
            <v>0</v>
          </cell>
        </row>
        <row r="298">
          <cell r="A298" t="str">
            <v>Unplugged</v>
          </cell>
          <cell r="D298">
            <v>0</v>
          </cell>
          <cell r="E298">
            <v>0</v>
          </cell>
          <cell r="F298">
            <v>0</v>
          </cell>
          <cell r="G298">
            <v>0</v>
          </cell>
        </row>
        <row r="299">
          <cell r="A299">
            <v>0</v>
          </cell>
          <cell r="D299">
            <v>0</v>
          </cell>
          <cell r="E299">
            <v>0</v>
          </cell>
          <cell r="F299">
            <v>0</v>
          </cell>
          <cell r="G299">
            <v>0</v>
          </cell>
        </row>
        <row r="300">
          <cell r="A300" t="str">
            <v>Electronic Pest Repellent</v>
          </cell>
          <cell r="D300">
            <v>0</v>
          </cell>
          <cell r="E300">
            <v>0</v>
          </cell>
          <cell r="F300">
            <v>0</v>
          </cell>
          <cell r="G300">
            <v>0</v>
          </cell>
        </row>
        <row r="301">
          <cell r="A301" t="str">
            <v>State 1</v>
          </cell>
          <cell r="D301">
            <v>0</v>
          </cell>
          <cell r="E301">
            <v>0</v>
          </cell>
          <cell r="F301">
            <v>0</v>
          </cell>
          <cell r="G301">
            <v>0</v>
          </cell>
        </row>
        <row r="302">
          <cell r="A302" t="str">
            <v>State 2</v>
          </cell>
          <cell r="D302">
            <v>0</v>
          </cell>
          <cell r="E302">
            <v>0</v>
          </cell>
          <cell r="F302">
            <v>0</v>
          </cell>
          <cell r="G302">
            <v>0</v>
          </cell>
        </row>
        <row r="303">
          <cell r="A303" t="str">
            <v>State 3</v>
          </cell>
          <cell r="D303">
            <v>0</v>
          </cell>
          <cell r="E303">
            <v>0</v>
          </cell>
          <cell r="F303">
            <v>0</v>
          </cell>
          <cell r="G303">
            <v>0</v>
          </cell>
        </row>
        <row r="304">
          <cell r="A304" t="str">
            <v>State 4</v>
          </cell>
          <cell r="D304">
            <v>0</v>
          </cell>
          <cell r="E304">
            <v>0</v>
          </cell>
          <cell r="F304">
            <v>0</v>
          </cell>
          <cell r="G304">
            <v>0</v>
          </cell>
        </row>
        <row r="305">
          <cell r="A305" t="str">
            <v>State 5</v>
          </cell>
          <cell r="D305">
            <v>0</v>
          </cell>
          <cell r="E305">
            <v>0</v>
          </cell>
          <cell r="F305">
            <v>0</v>
          </cell>
          <cell r="G305">
            <v>0</v>
          </cell>
        </row>
        <row r="306">
          <cell r="A306" t="str">
            <v>State 6</v>
          </cell>
          <cell r="D306">
            <v>0</v>
          </cell>
          <cell r="E306">
            <v>0</v>
          </cell>
          <cell r="F306">
            <v>0</v>
          </cell>
          <cell r="G306">
            <v>0</v>
          </cell>
        </row>
        <row r="307">
          <cell r="A307" t="str">
            <v>Unplugged</v>
          </cell>
          <cell r="D307">
            <v>0</v>
          </cell>
          <cell r="E307">
            <v>0</v>
          </cell>
          <cell r="F307">
            <v>0</v>
          </cell>
          <cell r="G307">
            <v>0</v>
          </cell>
        </row>
        <row r="308">
          <cell r="A308">
            <v>0</v>
          </cell>
          <cell r="D308">
            <v>0</v>
          </cell>
          <cell r="E308">
            <v>0</v>
          </cell>
          <cell r="F308">
            <v>0</v>
          </cell>
          <cell r="G308">
            <v>0</v>
          </cell>
        </row>
        <row r="309">
          <cell r="A309" t="str">
            <v>External hard drives</v>
          </cell>
          <cell r="D309">
            <v>0</v>
          </cell>
          <cell r="E309">
            <v>0</v>
          </cell>
          <cell r="F309">
            <v>0</v>
          </cell>
          <cell r="G309">
            <v>0</v>
          </cell>
        </row>
        <row r="310">
          <cell r="A310" t="str">
            <v>State 1</v>
          </cell>
          <cell r="D310">
            <v>0</v>
          </cell>
          <cell r="E310">
            <v>0</v>
          </cell>
          <cell r="F310">
            <v>0</v>
          </cell>
          <cell r="G310">
            <v>0</v>
          </cell>
        </row>
        <row r="311">
          <cell r="A311" t="str">
            <v>State 2</v>
          </cell>
          <cell r="D311">
            <v>0</v>
          </cell>
          <cell r="E311">
            <v>0</v>
          </cell>
          <cell r="F311">
            <v>0</v>
          </cell>
          <cell r="G311">
            <v>0</v>
          </cell>
        </row>
        <row r="312">
          <cell r="A312" t="str">
            <v>State 3</v>
          </cell>
          <cell r="D312">
            <v>0</v>
          </cell>
          <cell r="E312">
            <v>0</v>
          </cell>
          <cell r="F312">
            <v>0</v>
          </cell>
          <cell r="G312">
            <v>0</v>
          </cell>
        </row>
        <row r="313">
          <cell r="A313" t="str">
            <v>State 4</v>
          </cell>
          <cell r="D313">
            <v>0</v>
          </cell>
          <cell r="E313">
            <v>0</v>
          </cell>
          <cell r="F313">
            <v>0</v>
          </cell>
          <cell r="G313">
            <v>0</v>
          </cell>
        </row>
        <row r="314">
          <cell r="A314" t="str">
            <v>State 5</v>
          </cell>
          <cell r="D314">
            <v>0</v>
          </cell>
          <cell r="E314">
            <v>0</v>
          </cell>
          <cell r="F314">
            <v>0</v>
          </cell>
          <cell r="G314">
            <v>0</v>
          </cell>
        </row>
        <row r="315">
          <cell r="A315" t="str">
            <v>State 6</v>
          </cell>
          <cell r="D315">
            <v>0</v>
          </cell>
          <cell r="E315">
            <v>0</v>
          </cell>
          <cell r="F315">
            <v>0</v>
          </cell>
          <cell r="G315">
            <v>0</v>
          </cell>
        </row>
        <row r="316">
          <cell r="A316" t="str">
            <v>Unplugged</v>
          </cell>
          <cell r="D316">
            <v>0</v>
          </cell>
          <cell r="E316">
            <v>0</v>
          </cell>
          <cell r="F316">
            <v>0</v>
          </cell>
          <cell r="G316">
            <v>0</v>
          </cell>
        </row>
        <row r="317">
          <cell r="A317">
            <v>0</v>
          </cell>
          <cell r="D317">
            <v>0</v>
          </cell>
          <cell r="E317">
            <v>0</v>
          </cell>
          <cell r="F317">
            <v>0</v>
          </cell>
          <cell r="G317">
            <v>0</v>
          </cell>
        </row>
        <row r="318">
          <cell r="A318" t="str">
            <v>External media drives (zip, HD Docks/Enclosures, CD/DVD Rom)</v>
          </cell>
          <cell r="D318">
            <v>0</v>
          </cell>
          <cell r="E318">
            <v>0</v>
          </cell>
          <cell r="F318">
            <v>0</v>
          </cell>
          <cell r="G318">
            <v>0</v>
          </cell>
        </row>
        <row r="319">
          <cell r="A319" t="str">
            <v>State 1</v>
          </cell>
          <cell r="D319">
            <v>0</v>
          </cell>
          <cell r="E319">
            <v>0</v>
          </cell>
          <cell r="F319">
            <v>0</v>
          </cell>
          <cell r="G319">
            <v>0</v>
          </cell>
        </row>
        <row r="320">
          <cell r="A320" t="str">
            <v>State 2</v>
          </cell>
          <cell r="D320">
            <v>0</v>
          </cell>
          <cell r="E320">
            <v>0</v>
          </cell>
          <cell r="F320">
            <v>0</v>
          </cell>
          <cell r="G320">
            <v>0</v>
          </cell>
        </row>
        <row r="321">
          <cell r="A321" t="str">
            <v>State 3</v>
          </cell>
          <cell r="D321">
            <v>0</v>
          </cell>
          <cell r="E321">
            <v>0</v>
          </cell>
          <cell r="F321">
            <v>0</v>
          </cell>
          <cell r="G321">
            <v>0</v>
          </cell>
        </row>
        <row r="322">
          <cell r="A322" t="str">
            <v>State 4</v>
          </cell>
          <cell r="D322">
            <v>0</v>
          </cell>
          <cell r="E322">
            <v>0</v>
          </cell>
          <cell r="F322">
            <v>0</v>
          </cell>
          <cell r="G322">
            <v>0</v>
          </cell>
        </row>
        <row r="323">
          <cell r="A323" t="str">
            <v>State 5</v>
          </cell>
          <cell r="D323">
            <v>0</v>
          </cell>
          <cell r="E323">
            <v>0</v>
          </cell>
          <cell r="F323">
            <v>0</v>
          </cell>
          <cell r="G323">
            <v>0</v>
          </cell>
        </row>
        <row r="324">
          <cell r="A324" t="str">
            <v>State 6</v>
          </cell>
          <cell r="D324">
            <v>0</v>
          </cell>
          <cell r="E324">
            <v>0</v>
          </cell>
          <cell r="F324">
            <v>0</v>
          </cell>
          <cell r="G324">
            <v>0</v>
          </cell>
        </row>
        <row r="325">
          <cell r="A325" t="str">
            <v>Unplugged</v>
          </cell>
          <cell r="D325">
            <v>0</v>
          </cell>
          <cell r="E325">
            <v>0</v>
          </cell>
          <cell r="F325">
            <v>0</v>
          </cell>
          <cell r="G325">
            <v>0</v>
          </cell>
        </row>
        <row r="326">
          <cell r="A326">
            <v>0</v>
          </cell>
          <cell r="D326">
            <v>0</v>
          </cell>
          <cell r="E326">
            <v>0</v>
          </cell>
          <cell r="F326">
            <v>0</v>
          </cell>
          <cell r="G326">
            <v>0</v>
          </cell>
        </row>
        <row r="327">
          <cell r="A327" t="str">
            <v>Fax</v>
          </cell>
          <cell r="D327">
            <v>0</v>
          </cell>
          <cell r="E327">
            <v>0</v>
          </cell>
          <cell r="F327">
            <v>0</v>
          </cell>
          <cell r="G327">
            <v>0</v>
          </cell>
        </row>
        <row r="328">
          <cell r="A328" t="str">
            <v>State 1</v>
          </cell>
          <cell r="D328">
            <v>1</v>
          </cell>
          <cell r="E328">
            <v>0</v>
          </cell>
          <cell r="F328">
            <v>0</v>
          </cell>
          <cell r="G328">
            <v>0</v>
          </cell>
        </row>
        <row r="329">
          <cell r="A329" t="str">
            <v>State 2</v>
          </cell>
          <cell r="D329">
            <v>0</v>
          </cell>
          <cell r="E329">
            <v>1</v>
          </cell>
          <cell r="F329">
            <v>0</v>
          </cell>
          <cell r="G329">
            <v>0</v>
          </cell>
        </row>
        <row r="330">
          <cell r="A330" t="str">
            <v>State 3</v>
          </cell>
          <cell r="D330">
            <v>0</v>
          </cell>
          <cell r="E330">
            <v>1</v>
          </cell>
          <cell r="F330">
            <v>0</v>
          </cell>
          <cell r="G330">
            <v>0</v>
          </cell>
        </row>
        <row r="331">
          <cell r="A331" t="str">
            <v>State 4</v>
          </cell>
          <cell r="D331">
            <v>0</v>
          </cell>
          <cell r="E331">
            <v>0</v>
          </cell>
          <cell r="F331">
            <v>0</v>
          </cell>
          <cell r="G331">
            <v>0</v>
          </cell>
        </row>
        <row r="332">
          <cell r="A332" t="str">
            <v>State 5</v>
          </cell>
          <cell r="D332">
            <v>0</v>
          </cell>
          <cell r="E332">
            <v>0</v>
          </cell>
          <cell r="F332">
            <v>0</v>
          </cell>
          <cell r="G332">
            <v>0</v>
          </cell>
        </row>
        <row r="333">
          <cell r="A333" t="str">
            <v>State 6</v>
          </cell>
          <cell r="D333">
            <v>0</v>
          </cell>
          <cell r="E333">
            <v>0</v>
          </cell>
          <cell r="F333">
            <v>0</v>
          </cell>
          <cell r="G333">
            <v>0</v>
          </cell>
        </row>
        <row r="334">
          <cell r="A334" t="str">
            <v>Unplugged</v>
          </cell>
          <cell r="D334">
            <v>0</v>
          </cell>
          <cell r="E334">
            <v>0</v>
          </cell>
          <cell r="F334">
            <v>0</v>
          </cell>
          <cell r="G334">
            <v>1</v>
          </cell>
        </row>
        <row r="335">
          <cell r="A335">
            <v>0</v>
          </cell>
          <cell r="D335">
            <v>0</v>
          </cell>
          <cell r="E335">
            <v>0</v>
          </cell>
          <cell r="F335">
            <v>0</v>
          </cell>
          <cell r="G335">
            <v>0</v>
          </cell>
        </row>
        <row r="336">
          <cell r="A336" t="str">
            <v>Flatbed image scanners</v>
          </cell>
          <cell r="D336">
            <v>0</v>
          </cell>
          <cell r="E336">
            <v>0</v>
          </cell>
          <cell r="F336">
            <v>0</v>
          </cell>
          <cell r="G336">
            <v>0</v>
          </cell>
        </row>
        <row r="337">
          <cell r="A337" t="str">
            <v>State 1</v>
          </cell>
          <cell r="D337">
            <v>1</v>
          </cell>
          <cell r="E337">
            <v>0</v>
          </cell>
          <cell r="F337">
            <v>0</v>
          </cell>
          <cell r="G337">
            <v>0</v>
          </cell>
        </row>
        <row r="338">
          <cell r="A338" t="str">
            <v>State 2</v>
          </cell>
          <cell r="D338">
            <v>0</v>
          </cell>
          <cell r="E338">
            <v>0</v>
          </cell>
          <cell r="F338">
            <v>0</v>
          </cell>
          <cell r="G338">
            <v>0</v>
          </cell>
        </row>
        <row r="339">
          <cell r="A339" t="str">
            <v>State 3</v>
          </cell>
          <cell r="D339">
            <v>1</v>
          </cell>
          <cell r="E339">
            <v>0</v>
          </cell>
          <cell r="F339">
            <v>0</v>
          </cell>
          <cell r="G339">
            <v>0</v>
          </cell>
        </row>
        <row r="340">
          <cell r="A340" t="str">
            <v>State 4</v>
          </cell>
          <cell r="D340">
            <v>0</v>
          </cell>
          <cell r="E340">
            <v>0</v>
          </cell>
          <cell r="F340">
            <v>0</v>
          </cell>
          <cell r="G340">
            <v>0</v>
          </cell>
        </row>
        <row r="341">
          <cell r="A341" t="str">
            <v>State 5</v>
          </cell>
          <cell r="D341">
            <v>0</v>
          </cell>
          <cell r="E341">
            <v>0</v>
          </cell>
          <cell r="F341">
            <v>0</v>
          </cell>
          <cell r="G341">
            <v>0</v>
          </cell>
        </row>
        <row r="342">
          <cell r="A342" t="str">
            <v>State 6</v>
          </cell>
          <cell r="D342">
            <v>0</v>
          </cell>
          <cell r="E342">
            <v>0</v>
          </cell>
          <cell r="F342">
            <v>0</v>
          </cell>
          <cell r="G342">
            <v>0</v>
          </cell>
        </row>
        <row r="343">
          <cell r="A343" t="str">
            <v>Unplugged</v>
          </cell>
          <cell r="D343">
            <v>0</v>
          </cell>
          <cell r="E343">
            <v>0</v>
          </cell>
          <cell r="F343">
            <v>0</v>
          </cell>
          <cell r="G343">
            <v>1</v>
          </cell>
        </row>
        <row r="344">
          <cell r="A344">
            <v>0</v>
          </cell>
          <cell r="D344">
            <v>0</v>
          </cell>
          <cell r="E344">
            <v>0</v>
          </cell>
          <cell r="F344">
            <v>0</v>
          </cell>
          <cell r="G344">
            <v>0</v>
          </cell>
        </row>
        <row r="345">
          <cell r="A345" t="str">
            <v>Guitar effects</v>
          </cell>
          <cell r="D345">
            <v>0</v>
          </cell>
          <cell r="E345">
            <v>0</v>
          </cell>
          <cell r="F345">
            <v>0</v>
          </cell>
          <cell r="G345">
            <v>0</v>
          </cell>
        </row>
        <row r="346">
          <cell r="A346" t="str">
            <v>State 1</v>
          </cell>
          <cell r="D346">
            <v>0</v>
          </cell>
          <cell r="E346">
            <v>0</v>
          </cell>
          <cell r="F346">
            <v>0</v>
          </cell>
          <cell r="G346">
            <v>0</v>
          </cell>
        </row>
        <row r="347">
          <cell r="A347" t="str">
            <v>State 2</v>
          </cell>
          <cell r="D347">
            <v>0</v>
          </cell>
          <cell r="E347">
            <v>0</v>
          </cell>
          <cell r="F347">
            <v>0</v>
          </cell>
          <cell r="G347">
            <v>0</v>
          </cell>
        </row>
        <row r="348">
          <cell r="A348" t="str">
            <v>State 3</v>
          </cell>
          <cell r="D348">
            <v>0</v>
          </cell>
          <cell r="E348">
            <v>0</v>
          </cell>
          <cell r="F348">
            <v>0</v>
          </cell>
          <cell r="G348">
            <v>0</v>
          </cell>
        </row>
        <row r="349">
          <cell r="A349" t="str">
            <v>State 4</v>
          </cell>
          <cell r="D349">
            <v>0</v>
          </cell>
          <cell r="E349">
            <v>0</v>
          </cell>
          <cell r="F349">
            <v>0</v>
          </cell>
          <cell r="G349">
            <v>0</v>
          </cell>
        </row>
        <row r="350">
          <cell r="A350" t="str">
            <v>State 5</v>
          </cell>
          <cell r="D350">
            <v>0</v>
          </cell>
          <cell r="E350">
            <v>0</v>
          </cell>
          <cell r="F350">
            <v>0</v>
          </cell>
          <cell r="G350">
            <v>0</v>
          </cell>
        </row>
        <row r="351">
          <cell r="A351" t="str">
            <v>State 6</v>
          </cell>
          <cell r="D351">
            <v>0</v>
          </cell>
          <cell r="E351">
            <v>0</v>
          </cell>
          <cell r="F351">
            <v>0</v>
          </cell>
          <cell r="G351">
            <v>0</v>
          </cell>
        </row>
        <row r="352">
          <cell r="A352" t="str">
            <v>Unplugged</v>
          </cell>
          <cell r="D352">
            <v>0</v>
          </cell>
          <cell r="E352">
            <v>0</v>
          </cell>
          <cell r="F352">
            <v>0</v>
          </cell>
          <cell r="G352">
            <v>0</v>
          </cell>
        </row>
        <row r="353">
          <cell r="A353">
            <v>0</v>
          </cell>
          <cell r="D353">
            <v>0</v>
          </cell>
          <cell r="E353">
            <v>0</v>
          </cell>
          <cell r="F353">
            <v>0</v>
          </cell>
          <cell r="G353">
            <v>0</v>
          </cell>
        </row>
        <row r="354">
          <cell r="A354" t="str">
            <v>Handheld computers</v>
          </cell>
          <cell r="D354">
            <v>0</v>
          </cell>
          <cell r="E354">
            <v>0</v>
          </cell>
          <cell r="F354">
            <v>0</v>
          </cell>
          <cell r="G354">
            <v>0</v>
          </cell>
        </row>
        <row r="355">
          <cell r="A355" t="str">
            <v>State 1</v>
          </cell>
          <cell r="D355">
            <v>0</v>
          </cell>
          <cell r="E355">
            <v>0</v>
          </cell>
          <cell r="F355">
            <v>0</v>
          </cell>
          <cell r="G355">
            <v>0</v>
          </cell>
        </row>
        <row r="356">
          <cell r="A356" t="str">
            <v>State 2</v>
          </cell>
          <cell r="D356">
            <v>0</v>
          </cell>
          <cell r="E356">
            <v>0</v>
          </cell>
          <cell r="F356">
            <v>0</v>
          </cell>
          <cell r="G356">
            <v>0</v>
          </cell>
        </row>
        <row r="357">
          <cell r="A357" t="str">
            <v>State 3</v>
          </cell>
          <cell r="D357">
            <v>0</v>
          </cell>
          <cell r="E357">
            <v>0</v>
          </cell>
          <cell r="F357">
            <v>0</v>
          </cell>
          <cell r="G357">
            <v>0</v>
          </cell>
        </row>
        <row r="358">
          <cell r="A358" t="str">
            <v>State 4</v>
          </cell>
          <cell r="D358">
            <v>0</v>
          </cell>
          <cell r="E358">
            <v>0</v>
          </cell>
          <cell r="F358">
            <v>0</v>
          </cell>
          <cell r="G358">
            <v>0</v>
          </cell>
        </row>
        <row r="359">
          <cell r="A359" t="str">
            <v>State 5</v>
          </cell>
          <cell r="D359">
            <v>0</v>
          </cell>
          <cell r="E359">
            <v>0</v>
          </cell>
          <cell r="F359">
            <v>0</v>
          </cell>
          <cell r="G359">
            <v>0</v>
          </cell>
        </row>
        <row r="360">
          <cell r="A360" t="str">
            <v>State 6</v>
          </cell>
          <cell r="D360">
            <v>0</v>
          </cell>
          <cell r="E360">
            <v>0</v>
          </cell>
          <cell r="F360">
            <v>0</v>
          </cell>
          <cell r="G360">
            <v>0</v>
          </cell>
        </row>
        <row r="361">
          <cell r="A361" t="str">
            <v>Unplugged</v>
          </cell>
          <cell r="D361">
            <v>0</v>
          </cell>
          <cell r="E361">
            <v>0</v>
          </cell>
          <cell r="F361">
            <v>0</v>
          </cell>
          <cell r="G361">
            <v>0</v>
          </cell>
        </row>
        <row r="362">
          <cell r="A362">
            <v>0</v>
          </cell>
          <cell r="D362">
            <v>0</v>
          </cell>
          <cell r="E362">
            <v>0</v>
          </cell>
          <cell r="F362">
            <v>0</v>
          </cell>
          <cell r="G362">
            <v>0</v>
          </cell>
        </row>
        <row r="363">
          <cell r="A363" t="str">
            <v>Handheld image scanners</v>
          </cell>
          <cell r="D363">
            <v>0</v>
          </cell>
          <cell r="E363">
            <v>0</v>
          </cell>
          <cell r="F363">
            <v>0</v>
          </cell>
          <cell r="G363">
            <v>0</v>
          </cell>
        </row>
        <row r="364">
          <cell r="A364" t="str">
            <v>State 1</v>
          </cell>
          <cell r="D364">
            <v>0</v>
          </cell>
          <cell r="E364">
            <v>0</v>
          </cell>
          <cell r="F364">
            <v>0</v>
          </cell>
          <cell r="G364">
            <v>0</v>
          </cell>
        </row>
        <row r="365">
          <cell r="A365" t="str">
            <v>State 2</v>
          </cell>
          <cell r="D365">
            <v>0</v>
          </cell>
          <cell r="E365">
            <v>0</v>
          </cell>
          <cell r="F365">
            <v>0</v>
          </cell>
          <cell r="G365">
            <v>0</v>
          </cell>
        </row>
        <row r="366">
          <cell r="A366" t="str">
            <v>State 3</v>
          </cell>
          <cell r="D366">
            <v>0</v>
          </cell>
          <cell r="E366">
            <v>0</v>
          </cell>
          <cell r="F366">
            <v>0</v>
          </cell>
          <cell r="G366">
            <v>0</v>
          </cell>
        </row>
        <row r="367">
          <cell r="A367" t="str">
            <v>State 4</v>
          </cell>
          <cell r="D367">
            <v>0</v>
          </cell>
          <cell r="E367">
            <v>0</v>
          </cell>
          <cell r="F367">
            <v>0</v>
          </cell>
          <cell r="G367">
            <v>0</v>
          </cell>
        </row>
        <row r="368">
          <cell r="A368" t="str">
            <v>State 5</v>
          </cell>
          <cell r="D368">
            <v>0</v>
          </cell>
          <cell r="E368">
            <v>0</v>
          </cell>
          <cell r="F368">
            <v>0</v>
          </cell>
          <cell r="G368">
            <v>0</v>
          </cell>
        </row>
        <row r="369">
          <cell r="A369" t="str">
            <v>State 6</v>
          </cell>
          <cell r="D369">
            <v>0</v>
          </cell>
          <cell r="E369">
            <v>0</v>
          </cell>
          <cell r="F369">
            <v>0</v>
          </cell>
          <cell r="G369">
            <v>0</v>
          </cell>
        </row>
        <row r="370">
          <cell r="A370" t="str">
            <v>Unplugged</v>
          </cell>
          <cell r="D370">
            <v>0</v>
          </cell>
          <cell r="E370">
            <v>0</v>
          </cell>
          <cell r="F370">
            <v>0</v>
          </cell>
          <cell r="G370">
            <v>0</v>
          </cell>
        </row>
        <row r="371">
          <cell r="A371">
            <v>0</v>
          </cell>
          <cell r="D371">
            <v>0</v>
          </cell>
          <cell r="E371">
            <v>0</v>
          </cell>
          <cell r="F371">
            <v>0</v>
          </cell>
          <cell r="G371">
            <v>0</v>
          </cell>
        </row>
        <row r="372">
          <cell r="A372" t="str">
            <v>Handheld navigation devices</v>
          </cell>
          <cell r="D372">
            <v>0</v>
          </cell>
          <cell r="E372">
            <v>0</v>
          </cell>
          <cell r="F372">
            <v>0</v>
          </cell>
          <cell r="G372">
            <v>0</v>
          </cell>
        </row>
        <row r="373">
          <cell r="A373" t="str">
            <v>State 1</v>
          </cell>
          <cell r="D373">
            <v>0</v>
          </cell>
          <cell r="E373">
            <v>0</v>
          </cell>
          <cell r="F373">
            <v>0</v>
          </cell>
          <cell r="G373">
            <v>0</v>
          </cell>
        </row>
        <row r="374">
          <cell r="A374" t="str">
            <v>State 2</v>
          </cell>
          <cell r="D374">
            <v>0</v>
          </cell>
          <cell r="E374">
            <v>0</v>
          </cell>
          <cell r="F374">
            <v>0</v>
          </cell>
          <cell r="G374">
            <v>0</v>
          </cell>
        </row>
        <row r="375">
          <cell r="A375" t="str">
            <v>State 3</v>
          </cell>
          <cell r="D375">
            <v>0</v>
          </cell>
          <cell r="E375">
            <v>0</v>
          </cell>
          <cell r="F375">
            <v>0</v>
          </cell>
          <cell r="G375">
            <v>0</v>
          </cell>
        </row>
        <row r="376">
          <cell r="A376" t="str">
            <v>State 4</v>
          </cell>
          <cell r="D376">
            <v>0</v>
          </cell>
          <cell r="E376">
            <v>0</v>
          </cell>
          <cell r="F376">
            <v>0</v>
          </cell>
          <cell r="G376">
            <v>0</v>
          </cell>
        </row>
        <row r="377">
          <cell r="A377" t="str">
            <v>State 5</v>
          </cell>
          <cell r="D377">
            <v>0</v>
          </cell>
          <cell r="E377">
            <v>0</v>
          </cell>
          <cell r="F377">
            <v>0</v>
          </cell>
          <cell r="G377">
            <v>0</v>
          </cell>
        </row>
        <row r="378">
          <cell r="A378" t="str">
            <v>State 6</v>
          </cell>
          <cell r="D378">
            <v>0</v>
          </cell>
          <cell r="E378">
            <v>0</v>
          </cell>
          <cell r="F378">
            <v>0</v>
          </cell>
          <cell r="G378">
            <v>0</v>
          </cell>
        </row>
        <row r="379">
          <cell r="A379" t="str">
            <v>Unplugged</v>
          </cell>
          <cell r="D379">
            <v>0</v>
          </cell>
          <cell r="E379">
            <v>0</v>
          </cell>
          <cell r="F379">
            <v>0</v>
          </cell>
          <cell r="G379">
            <v>0</v>
          </cell>
        </row>
        <row r="380">
          <cell r="A380">
            <v>0</v>
          </cell>
          <cell r="D380">
            <v>0</v>
          </cell>
          <cell r="E380">
            <v>0</v>
          </cell>
          <cell r="F380">
            <v>0</v>
          </cell>
          <cell r="G380">
            <v>0</v>
          </cell>
        </row>
        <row r="381">
          <cell r="A381" t="str">
            <v>Home security systems</v>
          </cell>
          <cell r="D381">
            <v>0</v>
          </cell>
          <cell r="E381">
            <v>0</v>
          </cell>
          <cell r="F381">
            <v>0</v>
          </cell>
          <cell r="G381">
            <v>0</v>
          </cell>
        </row>
        <row r="382">
          <cell r="A382" t="str">
            <v>State 1</v>
          </cell>
          <cell r="D382">
            <v>0</v>
          </cell>
          <cell r="E382">
            <v>0</v>
          </cell>
          <cell r="F382">
            <v>0</v>
          </cell>
          <cell r="G382">
            <v>0</v>
          </cell>
        </row>
        <row r="383">
          <cell r="A383" t="str">
            <v>State 2</v>
          </cell>
          <cell r="D383">
            <v>0</v>
          </cell>
          <cell r="E383">
            <v>0</v>
          </cell>
          <cell r="F383">
            <v>0</v>
          </cell>
          <cell r="G383">
            <v>0</v>
          </cell>
        </row>
        <row r="384">
          <cell r="A384" t="str">
            <v>State 3</v>
          </cell>
          <cell r="D384">
            <v>0</v>
          </cell>
          <cell r="E384">
            <v>0</v>
          </cell>
          <cell r="F384">
            <v>0</v>
          </cell>
          <cell r="G384">
            <v>0</v>
          </cell>
        </row>
        <row r="385">
          <cell r="A385" t="str">
            <v>State 4</v>
          </cell>
          <cell r="D385">
            <v>0</v>
          </cell>
          <cell r="E385">
            <v>0</v>
          </cell>
          <cell r="F385">
            <v>0</v>
          </cell>
          <cell r="G385">
            <v>0</v>
          </cell>
        </row>
        <row r="386">
          <cell r="A386" t="str">
            <v>State 5</v>
          </cell>
          <cell r="D386">
            <v>0</v>
          </cell>
          <cell r="E386">
            <v>0</v>
          </cell>
          <cell r="F386">
            <v>0</v>
          </cell>
          <cell r="G386">
            <v>0</v>
          </cell>
        </row>
        <row r="387">
          <cell r="A387" t="str">
            <v>State 6</v>
          </cell>
          <cell r="D387">
            <v>0</v>
          </cell>
          <cell r="E387">
            <v>0</v>
          </cell>
          <cell r="F387">
            <v>0</v>
          </cell>
          <cell r="G387">
            <v>0</v>
          </cell>
        </row>
        <row r="388">
          <cell r="A388" t="str">
            <v>Unplugged</v>
          </cell>
          <cell r="D388">
            <v>0</v>
          </cell>
          <cell r="E388">
            <v>0</v>
          </cell>
          <cell r="F388">
            <v>0</v>
          </cell>
          <cell r="G388">
            <v>0</v>
          </cell>
        </row>
        <row r="389">
          <cell r="A389">
            <v>0</v>
          </cell>
          <cell r="D389">
            <v>0</v>
          </cell>
          <cell r="E389">
            <v>0</v>
          </cell>
          <cell r="F389">
            <v>0</v>
          </cell>
          <cell r="G389">
            <v>0</v>
          </cell>
        </row>
        <row r="390">
          <cell r="A390" t="str">
            <v>Indoor fountain pumps/lights</v>
          </cell>
          <cell r="D390">
            <v>0</v>
          </cell>
          <cell r="E390">
            <v>0</v>
          </cell>
          <cell r="F390">
            <v>0</v>
          </cell>
          <cell r="G390">
            <v>0</v>
          </cell>
        </row>
        <row r="391">
          <cell r="A391" t="str">
            <v>State 1</v>
          </cell>
          <cell r="D391">
            <v>0</v>
          </cell>
          <cell r="E391">
            <v>0</v>
          </cell>
          <cell r="F391">
            <v>0</v>
          </cell>
          <cell r="G391">
            <v>0</v>
          </cell>
        </row>
        <row r="392">
          <cell r="A392" t="str">
            <v>State 2</v>
          </cell>
          <cell r="D392">
            <v>0</v>
          </cell>
          <cell r="E392">
            <v>0</v>
          </cell>
          <cell r="F392">
            <v>0</v>
          </cell>
          <cell r="G392">
            <v>0</v>
          </cell>
        </row>
        <row r="393">
          <cell r="A393" t="str">
            <v>State 3</v>
          </cell>
          <cell r="D393">
            <v>0</v>
          </cell>
          <cell r="E393">
            <v>0</v>
          </cell>
          <cell r="F393">
            <v>0</v>
          </cell>
          <cell r="G393">
            <v>0</v>
          </cell>
        </row>
        <row r="394">
          <cell r="A394" t="str">
            <v>State 4</v>
          </cell>
          <cell r="D394">
            <v>0</v>
          </cell>
          <cell r="E394">
            <v>0</v>
          </cell>
          <cell r="F394">
            <v>0</v>
          </cell>
          <cell r="G394">
            <v>0</v>
          </cell>
        </row>
        <row r="395">
          <cell r="A395" t="str">
            <v>State 5</v>
          </cell>
          <cell r="D395">
            <v>0</v>
          </cell>
          <cell r="E395">
            <v>0</v>
          </cell>
          <cell r="F395">
            <v>0</v>
          </cell>
          <cell r="G395">
            <v>0</v>
          </cell>
        </row>
        <row r="396">
          <cell r="A396" t="str">
            <v>State 6</v>
          </cell>
          <cell r="D396">
            <v>0</v>
          </cell>
          <cell r="E396">
            <v>0</v>
          </cell>
          <cell r="F396">
            <v>0</v>
          </cell>
          <cell r="G396">
            <v>0</v>
          </cell>
        </row>
        <row r="397">
          <cell r="A397" t="str">
            <v>Unplugged</v>
          </cell>
          <cell r="D397">
            <v>0</v>
          </cell>
          <cell r="E397">
            <v>0</v>
          </cell>
          <cell r="F397">
            <v>0</v>
          </cell>
          <cell r="G397">
            <v>0</v>
          </cell>
        </row>
        <row r="398">
          <cell r="A398">
            <v>0</v>
          </cell>
          <cell r="D398">
            <v>0</v>
          </cell>
          <cell r="E398">
            <v>0</v>
          </cell>
          <cell r="F398">
            <v>0</v>
          </cell>
          <cell r="G398">
            <v>0</v>
          </cell>
        </row>
        <row r="399">
          <cell r="A399" t="str">
            <v>Inkjet Computer Printers</v>
          </cell>
          <cell r="D399">
            <v>0</v>
          </cell>
          <cell r="E399">
            <v>0</v>
          </cell>
          <cell r="F399">
            <v>0</v>
          </cell>
          <cell r="G399">
            <v>0</v>
          </cell>
        </row>
        <row r="400">
          <cell r="A400" t="str">
            <v>State 1</v>
          </cell>
          <cell r="D400">
            <v>1</v>
          </cell>
          <cell r="E400">
            <v>0</v>
          </cell>
          <cell r="F400">
            <v>0</v>
          </cell>
          <cell r="G400">
            <v>0</v>
          </cell>
        </row>
        <row r="401">
          <cell r="A401" t="str">
            <v>State 2</v>
          </cell>
          <cell r="D401">
            <v>1</v>
          </cell>
          <cell r="E401">
            <v>0</v>
          </cell>
          <cell r="F401">
            <v>0</v>
          </cell>
          <cell r="G401">
            <v>0</v>
          </cell>
        </row>
        <row r="402">
          <cell r="A402" t="str">
            <v>State 3</v>
          </cell>
          <cell r="D402">
            <v>0</v>
          </cell>
          <cell r="E402">
            <v>1</v>
          </cell>
          <cell r="F402">
            <v>0</v>
          </cell>
          <cell r="G402">
            <v>0</v>
          </cell>
        </row>
        <row r="403">
          <cell r="A403" t="str">
            <v>State 4</v>
          </cell>
          <cell r="D403">
            <v>0</v>
          </cell>
          <cell r="E403">
            <v>0</v>
          </cell>
          <cell r="F403">
            <v>0</v>
          </cell>
          <cell r="G403">
            <v>0</v>
          </cell>
        </row>
        <row r="404">
          <cell r="A404" t="str">
            <v>State 5</v>
          </cell>
          <cell r="D404">
            <v>0</v>
          </cell>
          <cell r="E404">
            <v>0</v>
          </cell>
          <cell r="F404">
            <v>0</v>
          </cell>
          <cell r="G404">
            <v>0</v>
          </cell>
        </row>
        <row r="405">
          <cell r="A405" t="str">
            <v>State 6</v>
          </cell>
          <cell r="D405">
            <v>0</v>
          </cell>
          <cell r="E405">
            <v>0</v>
          </cell>
          <cell r="F405">
            <v>0</v>
          </cell>
          <cell r="G405">
            <v>0</v>
          </cell>
        </row>
        <row r="406">
          <cell r="A406" t="str">
            <v>Unplugged</v>
          </cell>
          <cell r="D406">
            <v>0</v>
          </cell>
          <cell r="E406">
            <v>0</v>
          </cell>
          <cell r="F406">
            <v>0</v>
          </cell>
          <cell r="G406">
            <v>1</v>
          </cell>
        </row>
        <row r="407">
          <cell r="A407">
            <v>0</v>
          </cell>
          <cell r="D407">
            <v>0</v>
          </cell>
          <cell r="E407">
            <v>0</v>
          </cell>
          <cell r="F407">
            <v>0</v>
          </cell>
          <cell r="G407">
            <v>0</v>
          </cell>
        </row>
        <row r="408">
          <cell r="A408" t="str">
            <v>In-vehicle navigation devices</v>
          </cell>
          <cell r="D408">
            <v>0</v>
          </cell>
          <cell r="E408">
            <v>0</v>
          </cell>
          <cell r="F408">
            <v>0</v>
          </cell>
          <cell r="G408">
            <v>0</v>
          </cell>
        </row>
        <row r="409">
          <cell r="A409" t="str">
            <v>State 1</v>
          </cell>
          <cell r="D409">
            <v>0</v>
          </cell>
          <cell r="E409">
            <v>0</v>
          </cell>
          <cell r="F409">
            <v>0</v>
          </cell>
          <cell r="G409">
            <v>0</v>
          </cell>
        </row>
        <row r="410">
          <cell r="A410" t="str">
            <v>State 2</v>
          </cell>
          <cell r="D410">
            <v>0</v>
          </cell>
          <cell r="E410">
            <v>0</v>
          </cell>
          <cell r="F410">
            <v>0</v>
          </cell>
          <cell r="G410">
            <v>0</v>
          </cell>
        </row>
        <row r="411">
          <cell r="A411" t="str">
            <v>State 3</v>
          </cell>
          <cell r="D411">
            <v>0</v>
          </cell>
          <cell r="E411">
            <v>0</v>
          </cell>
          <cell r="F411">
            <v>0</v>
          </cell>
          <cell r="G411">
            <v>0</v>
          </cell>
        </row>
        <row r="412">
          <cell r="A412" t="str">
            <v>State 4</v>
          </cell>
          <cell r="D412">
            <v>0</v>
          </cell>
          <cell r="E412">
            <v>0</v>
          </cell>
          <cell r="F412">
            <v>0</v>
          </cell>
          <cell r="G412">
            <v>0</v>
          </cell>
        </row>
        <row r="413">
          <cell r="A413" t="str">
            <v>State 5</v>
          </cell>
          <cell r="D413">
            <v>0</v>
          </cell>
          <cell r="E413">
            <v>0</v>
          </cell>
          <cell r="F413">
            <v>0</v>
          </cell>
          <cell r="G413">
            <v>0</v>
          </cell>
        </row>
        <row r="414">
          <cell r="A414" t="str">
            <v>State 6</v>
          </cell>
          <cell r="D414">
            <v>0</v>
          </cell>
          <cell r="E414">
            <v>0</v>
          </cell>
          <cell r="F414">
            <v>0</v>
          </cell>
          <cell r="G414">
            <v>0</v>
          </cell>
        </row>
        <row r="415">
          <cell r="A415" t="str">
            <v>Unplugged</v>
          </cell>
          <cell r="D415">
            <v>0</v>
          </cell>
          <cell r="E415">
            <v>0</v>
          </cell>
          <cell r="F415">
            <v>0</v>
          </cell>
          <cell r="G415">
            <v>0</v>
          </cell>
        </row>
        <row r="416">
          <cell r="A416">
            <v>0</v>
          </cell>
          <cell r="D416">
            <v>0</v>
          </cell>
          <cell r="E416">
            <v>0</v>
          </cell>
          <cell r="F416">
            <v>0</v>
          </cell>
          <cell r="G416">
            <v>0</v>
          </cell>
        </row>
        <row r="417">
          <cell r="A417" t="str">
            <v>Irrigation Timers</v>
          </cell>
          <cell r="D417">
            <v>0</v>
          </cell>
          <cell r="E417">
            <v>0</v>
          </cell>
          <cell r="F417">
            <v>0</v>
          </cell>
          <cell r="G417">
            <v>0</v>
          </cell>
        </row>
        <row r="418">
          <cell r="A418" t="str">
            <v>State 1</v>
          </cell>
          <cell r="D418">
            <v>1</v>
          </cell>
          <cell r="E418">
            <v>0</v>
          </cell>
          <cell r="F418">
            <v>0</v>
          </cell>
          <cell r="G418">
            <v>0</v>
          </cell>
        </row>
        <row r="419">
          <cell r="A419" t="str">
            <v>State 2</v>
          </cell>
          <cell r="D419">
            <v>0</v>
          </cell>
          <cell r="E419">
            <v>0</v>
          </cell>
          <cell r="F419">
            <v>0</v>
          </cell>
          <cell r="G419">
            <v>0</v>
          </cell>
        </row>
        <row r="420">
          <cell r="A420" t="str">
            <v>State 3</v>
          </cell>
          <cell r="D420">
            <v>0</v>
          </cell>
          <cell r="E420">
            <v>1</v>
          </cell>
          <cell r="F420">
            <v>0</v>
          </cell>
          <cell r="G420">
            <v>0</v>
          </cell>
        </row>
        <row r="421">
          <cell r="A421" t="str">
            <v>State 4</v>
          </cell>
          <cell r="D421">
            <v>0</v>
          </cell>
          <cell r="E421">
            <v>0</v>
          </cell>
          <cell r="F421">
            <v>0</v>
          </cell>
          <cell r="G421">
            <v>0</v>
          </cell>
        </row>
        <row r="422">
          <cell r="A422" t="str">
            <v>State 5</v>
          </cell>
          <cell r="D422">
            <v>0</v>
          </cell>
          <cell r="E422">
            <v>0</v>
          </cell>
          <cell r="F422">
            <v>0</v>
          </cell>
          <cell r="G422">
            <v>0</v>
          </cell>
        </row>
        <row r="423">
          <cell r="A423" t="str">
            <v>State 6</v>
          </cell>
          <cell r="D423">
            <v>0</v>
          </cell>
          <cell r="E423">
            <v>0</v>
          </cell>
          <cell r="F423">
            <v>0</v>
          </cell>
          <cell r="G423">
            <v>0</v>
          </cell>
        </row>
        <row r="424">
          <cell r="A424" t="str">
            <v>Unplugged</v>
          </cell>
          <cell r="D424">
            <v>0</v>
          </cell>
          <cell r="E424">
            <v>0</v>
          </cell>
          <cell r="F424">
            <v>0</v>
          </cell>
          <cell r="G424">
            <v>1</v>
          </cell>
        </row>
        <row r="425">
          <cell r="A425">
            <v>0</v>
          </cell>
          <cell r="D425">
            <v>0</v>
          </cell>
          <cell r="E425">
            <v>0</v>
          </cell>
          <cell r="F425">
            <v>0</v>
          </cell>
          <cell r="G425">
            <v>0</v>
          </cell>
        </row>
        <row r="426">
          <cell r="A426" t="str">
            <v>LAN Equipment</v>
          </cell>
          <cell r="D426">
            <v>0</v>
          </cell>
          <cell r="E426">
            <v>0</v>
          </cell>
          <cell r="F426">
            <v>0</v>
          </cell>
          <cell r="G426">
            <v>0</v>
          </cell>
        </row>
        <row r="427">
          <cell r="A427" t="str">
            <v>State 1</v>
          </cell>
          <cell r="D427">
            <v>0</v>
          </cell>
          <cell r="E427">
            <v>0</v>
          </cell>
          <cell r="F427">
            <v>0</v>
          </cell>
          <cell r="G427">
            <v>0</v>
          </cell>
        </row>
        <row r="428">
          <cell r="A428" t="str">
            <v>State 2</v>
          </cell>
          <cell r="D428">
            <v>0</v>
          </cell>
          <cell r="E428">
            <v>0</v>
          </cell>
          <cell r="F428">
            <v>0</v>
          </cell>
          <cell r="G428">
            <v>0</v>
          </cell>
        </row>
        <row r="429">
          <cell r="A429" t="str">
            <v>State 3</v>
          </cell>
          <cell r="D429">
            <v>0</v>
          </cell>
          <cell r="E429">
            <v>0</v>
          </cell>
          <cell r="F429">
            <v>0</v>
          </cell>
          <cell r="G429">
            <v>0</v>
          </cell>
        </row>
        <row r="430">
          <cell r="A430" t="str">
            <v>State 4</v>
          </cell>
          <cell r="D430">
            <v>0</v>
          </cell>
          <cell r="E430">
            <v>0</v>
          </cell>
          <cell r="F430">
            <v>0</v>
          </cell>
          <cell r="G430">
            <v>0</v>
          </cell>
        </row>
        <row r="431">
          <cell r="A431" t="str">
            <v>State 5</v>
          </cell>
          <cell r="D431">
            <v>0</v>
          </cell>
          <cell r="E431">
            <v>0</v>
          </cell>
          <cell r="F431">
            <v>0</v>
          </cell>
          <cell r="G431">
            <v>0</v>
          </cell>
        </row>
        <row r="432">
          <cell r="A432" t="str">
            <v>State 6</v>
          </cell>
          <cell r="D432">
            <v>0</v>
          </cell>
          <cell r="E432">
            <v>0</v>
          </cell>
          <cell r="F432">
            <v>0</v>
          </cell>
          <cell r="G432">
            <v>0</v>
          </cell>
        </row>
        <row r="433">
          <cell r="A433" t="str">
            <v>Unplugged</v>
          </cell>
          <cell r="D433">
            <v>0</v>
          </cell>
          <cell r="E433">
            <v>0</v>
          </cell>
          <cell r="F433">
            <v>0</v>
          </cell>
          <cell r="G433">
            <v>0</v>
          </cell>
        </row>
        <row r="434">
          <cell r="A434">
            <v>0</v>
          </cell>
          <cell r="D434">
            <v>0</v>
          </cell>
          <cell r="E434">
            <v>0</v>
          </cell>
          <cell r="F434">
            <v>0</v>
          </cell>
          <cell r="G434">
            <v>0</v>
          </cell>
        </row>
        <row r="435">
          <cell r="A435" t="str">
            <v>Mobile phones</v>
          </cell>
          <cell r="D435">
            <v>0</v>
          </cell>
          <cell r="E435">
            <v>0</v>
          </cell>
          <cell r="F435">
            <v>0</v>
          </cell>
          <cell r="G435">
            <v>0</v>
          </cell>
        </row>
        <row r="436">
          <cell r="A436" t="str">
            <v>State 1</v>
          </cell>
          <cell r="D436">
            <v>1</v>
          </cell>
          <cell r="E436">
            <v>0</v>
          </cell>
          <cell r="F436">
            <v>0</v>
          </cell>
          <cell r="G436">
            <v>0</v>
          </cell>
        </row>
        <row r="437">
          <cell r="A437" t="str">
            <v>State 2</v>
          </cell>
          <cell r="D437">
            <v>0</v>
          </cell>
          <cell r="E437">
            <v>1</v>
          </cell>
          <cell r="F437">
            <v>0</v>
          </cell>
          <cell r="G437">
            <v>0</v>
          </cell>
        </row>
        <row r="438">
          <cell r="A438" t="str">
            <v>State 3</v>
          </cell>
          <cell r="D438">
            <v>0</v>
          </cell>
          <cell r="E438">
            <v>1</v>
          </cell>
          <cell r="F438">
            <v>0</v>
          </cell>
          <cell r="G438">
            <v>0</v>
          </cell>
        </row>
        <row r="439">
          <cell r="A439" t="str">
            <v>State 4</v>
          </cell>
          <cell r="D439">
            <v>0</v>
          </cell>
          <cell r="E439">
            <v>0</v>
          </cell>
          <cell r="F439">
            <v>0</v>
          </cell>
          <cell r="G439">
            <v>0</v>
          </cell>
        </row>
        <row r="440">
          <cell r="A440" t="str">
            <v>State 5</v>
          </cell>
          <cell r="D440">
            <v>0</v>
          </cell>
          <cell r="E440">
            <v>0</v>
          </cell>
          <cell r="F440">
            <v>0</v>
          </cell>
          <cell r="G440">
            <v>0</v>
          </cell>
        </row>
        <row r="441">
          <cell r="A441" t="str">
            <v>State 6</v>
          </cell>
          <cell r="D441">
            <v>0</v>
          </cell>
          <cell r="E441">
            <v>0</v>
          </cell>
          <cell r="F441">
            <v>0</v>
          </cell>
          <cell r="G441">
            <v>0</v>
          </cell>
        </row>
        <row r="442">
          <cell r="A442" t="str">
            <v>Unplugged</v>
          </cell>
          <cell r="D442">
            <v>0</v>
          </cell>
          <cell r="E442">
            <v>0</v>
          </cell>
          <cell r="F442">
            <v>0</v>
          </cell>
          <cell r="G442">
            <v>1</v>
          </cell>
        </row>
        <row r="443">
          <cell r="A443">
            <v>0</v>
          </cell>
          <cell r="D443">
            <v>0</v>
          </cell>
          <cell r="E443">
            <v>0</v>
          </cell>
          <cell r="F443">
            <v>0</v>
          </cell>
          <cell r="G443">
            <v>0</v>
          </cell>
        </row>
        <row r="444">
          <cell r="A444" t="str">
            <v>Modems (External)</v>
          </cell>
          <cell r="D444">
            <v>0</v>
          </cell>
          <cell r="E444">
            <v>0</v>
          </cell>
          <cell r="F444">
            <v>0</v>
          </cell>
          <cell r="G444">
            <v>0</v>
          </cell>
        </row>
        <row r="445">
          <cell r="A445" t="str">
            <v>State 1</v>
          </cell>
          <cell r="D445">
            <v>1</v>
          </cell>
          <cell r="E445">
            <v>0</v>
          </cell>
          <cell r="F445">
            <v>0</v>
          </cell>
          <cell r="G445">
            <v>0</v>
          </cell>
        </row>
        <row r="446">
          <cell r="A446" t="str">
            <v>State 2</v>
          </cell>
          <cell r="D446">
            <v>0</v>
          </cell>
          <cell r="E446">
            <v>0</v>
          </cell>
          <cell r="F446">
            <v>0</v>
          </cell>
          <cell r="G446">
            <v>0</v>
          </cell>
        </row>
        <row r="447">
          <cell r="A447" t="str">
            <v>State 3</v>
          </cell>
          <cell r="D447">
            <v>1</v>
          </cell>
          <cell r="E447">
            <v>0</v>
          </cell>
          <cell r="F447">
            <v>0</v>
          </cell>
          <cell r="G447">
            <v>0</v>
          </cell>
        </row>
        <row r="448">
          <cell r="A448" t="str">
            <v>State 4</v>
          </cell>
          <cell r="D448">
            <v>0</v>
          </cell>
          <cell r="E448">
            <v>0</v>
          </cell>
          <cell r="F448">
            <v>0</v>
          </cell>
          <cell r="G448">
            <v>0</v>
          </cell>
        </row>
        <row r="449">
          <cell r="A449" t="str">
            <v>State 5</v>
          </cell>
          <cell r="D449">
            <v>0</v>
          </cell>
          <cell r="E449">
            <v>0</v>
          </cell>
          <cell r="F449">
            <v>0</v>
          </cell>
          <cell r="G449">
            <v>0</v>
          </cell>
        </row>
        <row r="450">
          <cell r="A450" t="str">
            <v>State 6</v>
          </cell>
          <cell r="D450">
            <v>0</v>
          </cell>
          <cell r="E450">
            <v>0</v>
          </cell>
          <cell r="F450">
            <v>0</v>
          </cell>
          <cell r="G450">
            <v>0</v>
          </cell>
        </row>
        <row r="451">
          <cell r="A451" t="str">
            <v>Unplugged</v>
          </cell>
          <cell r="D451">
            <v>0</v>
          </cell>
          <cell r="E451">
            <v>0</v>
          </cell>
          <cell r="F451">
            <v>0</v>
          </cell>
          <cell r="G451">
            <v>1</v>
          </cell>
        </row>
        <row r="452">
          <cell r="A452">
            <v>0</v>
          </cell>
          <cell r="D452">
            <v>0</v>
          </cell>
          <cell r="E452">
            <v>0</v>
          </cell>
          <cell r="F452">
            <v>0</v>
          </cell>
          <cell r="G452">
            <v>0</v>
          </cell>
        </row>
        <row r="453">
          <cell r="A453" t="str">
            <v>Motorized Bicycles</v>
          </cell>
          <cell r="D453">
            <v>0</v>
          </cell>
          <cell r="E453">
            <v>0</v>
          </cell>
          <cell r="F453">
            <v>0</v>
          </cell>
          <cell r="G453">
            <v>0</v>
          </cell>
        </row>
        <row r="454">
          <cell r="A454" t="str">
            <v>State 1</v>
          </cell>
          <cell r="D454">
            <v>0</v>
          </cell>
          <cell r="E454">
            <v>0</v>
          </cell>
          <cell r="F454">
            <v>0</v>
          </cell>
          <cell r="G454">
            <v>0</v>
          </cell>
        </row>
        <row r="455">
          <cell r="A455" t="str">
            <v>State 2</v>
          </cell>
          <cell r="D455">
            <v>0</v>
          </cell>
          <cell r="E455">
            <v>0</v>
          </cell>
          <cell r="F455">
            <v>0</v>
          </cell>
          <cell r="G455">
            <v>0</v>
          </cell>
        </row>
        <row r="456">
          <cell r="A456" t="str">
            <v>State 3</v>
          </cell>
          <cell r="D456">
            <v>0</v>
          </cell>
          <cell r="E456">
            <v>0</v>
          </cell>
          <cell r="F456">
            <v>0</v>
          </cell>
          <cell r="G456">
            <v>0</v>
          </cell>
        </row>
        <row r="457">
          <cell r="A457" t="str">
            <v>State 4</v>
          </cell>
          <cell r="D457">
            <v>0</v>
          </cell>
          <cell r="E457">
            <v>0</v>
          </cell>
          <cell r="F457">
            <v>0</v>
          </cell>
          <cell r="G457">
            <v>0</v>
          </cell>
        </row>
        <row r="458">
          <cell r="A458" t="str">
            <v>State 5</v>
          </cell>
          <cell r="D458">
            <v>0</v>
          </cell>
          <cell r="E458">
            <v>0</v>
          </cell>
          <cell r="F458">
            <v>0</v>
          </cell>
          <cell r="G458">
            <v>0</v>
          </cell>
        </row>
        <row r="459">
          <cell r="A459" t="str">
            <v>State 6</v>
          </cell>
          <cell r="D459">
            <v>0</v>
          </cell>
          <cell r="E459">
            <v>0</v>
          </cell>
          <cell r="F459">
            <v>0</v>
          </cell>
          <cell r="G459">
            <v>0</v>
          </cell>
        </row>
        <row r="460">
          <cell r="A460" t="str">
            <v>Unplugged</v>
          </cell>
          <cell r="D460">
            <v>0</v>
          </cell>
          <cell r="E460">
            <v>0</v>
          </cell>
          <cell r="F460">
            <v>0</v>
          </cell>
          <cell r="G460">
            <v>0</v>
          </cell>
        </row>
        <row r="461">
          <cell r="A461">
            <v>0</v>
          </cell>
          <cell r="D461">
            <v>0</v>
          </cell>
          <cell r="E461">
            <v>0</v>
          </cell>
          <cell r="F461">
            <v>0</v>
          </cell>
          <cell r="G461">
            <v>0</v>
          </cell>
        </row>
        <row r="462">
          <cell r="A462" t="str">
            <v>MP3 Speaker Docks</v>
          </cell>
          <cell r="D462">
            <v>0</v>
          </cell>
          <cell r="E462">
            <v>0</v>
          </cell>
          <cell r="F462">
            <v>0</v>
          </cell>
          <cell r="G462">
            <v>0</v>
          </cell>
        </row>
        <row r="463">
          <cell r="A463" t="str">
            <v>State 1</v>
          </cell>
          <cell r="D463">
            <v>0</v>
          </cell>
          <cell r="E463">
            <v>0</v>
          </cell>
          <cell r="F463">
            <v>0</v>
          </cell>
          <cell r="G463">
            <v>0</v>
          </cell>
        </row>
        <row r="464">
          <cell r="A464" t="str">
            <v>State 2</v>
          </cell>
          <cell r="D464">
            <v>0</v>
          </cell>
          <cell r="E464">
            <v>0</v>
          </cell>
          <cell r="F464">
            <v>0</v>
          </cell>
          <cell r="G464">
            <v>0</v>
          </cell>
        </row>
        <row r="465">
          <cell r="A465" t="str">
            <v>State 3</v>
          </cell>
          <cell r="D465">
            <v>0</v>
          </cell>
          <cell r="E465">
            <v>0</v>
          </cell>
          <cell r="F465">
            <v>0</v>
          </cell>
          <cell r="G465">
            <v>0</v>
          </cell>
        </row>
        <row r="466">
          <cell r="A466" t="str">
            <v>State 4</v>
          </cell>
          <cell r="D466">
            <v>0</v>
          </cell>
          <cell r="E466">
            <v>0</v>
          </cell>
          <cell r="F466">
            <v>0</v>
          </cell>
          <cell r="G466">
            <v>0</v>
          </cell>
        </row>
        <row r="467">
          <cell r="A467" t="str">
            <v>State 5</v>
          </cell>
          <cell r="D467">
            <v>0</v>
          </cell>
          <cell r="E467">
            <v>0</v>
          </cell>
          <cell r="F467">
            <v>0</v>
          </cell>
          <cell r="G467">
            <v>0</v>
          </cell>
        </row>
        <row r="468">
          <cell r="A468" t="str">
            <v>State 6</v>
          </cell>
          <cell r="D468">
            <v>0</v>
          </cell>
          <cell r="E468">
            <v>0</v>
          </cell>
          <cell r="F468">
            <v>0</v>
          </cell>
          <cell r="G468">
            <v>0</v>
          </cell>
        </row>
        <row r="469">
          <cell r="A469" t="str">
            <v>Unplugged</v>
          </cell>
          <cell r="D469">
            <v>0</v>
          </cell>
          <cell r="E469">
            <v>0</v>
          </cell>
          <cell r="F469">
            <v>0</v>
          </cell>
          <cell r="G469">
            <v>0</v>
          </cell>
        </row>
        <row r="470">
          <cell r="A470">
            <v>0</v>
          </cell>
          <cell r="D470">
            <v>0</v>
          </cell>
          <cell r="E470">
            <v>0</v>
          </cell>
          <cell r="F470">
            <v>0</v>
          </cell>
          <cell r="G470">
            <v>0</v>
          </cell>
        </row>
        <row r="471">
          <cell r="A471" t="str">
            <v>Multifunction devices (MFD)</v>
          </cell>
          <cell r="D471">
            <v>0</v>
          </cell>
          <cell r="E471">
            <v>0</v>
          </cell>
          <cell r="F471">
            <v>0</v>
          </cell>
          <cell r="G471">
            <v>0</v>
          </cell>
        </row>
        <row r="472">
          <cell r="A472" t="str">
            <v>State 1</v>
          </cell>
          <cell r="D472">
            <v>1</v>
          </cell>
          <cell r="E472">
            <v>0</v>
          </cell>
          <cell r="F472">
            <v>0</v>
          </cell>
          <cell r="G472">
            <v>0</v>
          </cell>
        </row>
        <row r="473">
          <cell r="A473" t="str">
            <v>State 2</v>
          </cell>
          <cell r="D473">
            <v>1</v>
          </cell>
          <cell r="E473">
            <v>0</v>
          </cell>
          <cell r="F473">
            <v>0</v>
          </cell>
          <cell r="G473">
            <v>0</v>
          </cell>
        </row>
        <row r="474">
          <cell r="A474" t="str">
            <v>State 3</v>
          </cell>
          <cell r="D474">
            <v>1</v>
          </cell>
          <cell r="E474">
            <v>0</v>
          </cell>
          <cell r="F474">
            <v>0</v>
          </cell>
          <cell r="G474">
            <v>0</v>
          </cell>
        </row>
        <row r="475">
          <cell r="A475" t="str">
            <v>State 4</v>
          </cell>
          <cell r="D475">
            <v>0</v>
          </cell>
          <cell r="E475">
            <v>0</v>
          </cell>
          <cell r="F475">
            <v>0</v>
          </cell>
          <cell r="G475">
            <v>0</v>
          </cell>
        </row>
        <row r="476">
          <cell r="A476" t="str">
            <v>State 5</v>
          </cell>
          <cell r="D476">
            <v>0</v>
          </cell>
          <cell r="E476">
            <v>0</v>
          </cell>
          <cell r="F476">
            <v>0</v>
          </cell>
          <cell r="G476">
            <v>0</v>
          </cell>
        </row>
        <row r="477">
          <cell r="A477" t="str">
            <v>State 6</v>
          </cell>
          <cell r="D477">
            <v>0</v>
          </cell>
          <cell r="E477">
            <v>0</v>
          </cell>
          <cell r="F477">
            <v>0</v>
          </cell>
          <cell r="G477">
            <v>0</v>
          </cell>
        </row>
        <row r="478">
          <cell r="A478" t="str">
            <v>Unplugged</v>
          </cell>
          <cell r="D478">
            <v>0</v>
          </cell>
          <cell r="E478">
            <v>0</v>
          </cell>
          <cell r="F478">
            <v>0</v>
          </cell>
          <cell r="G478">
            <v>1</v>
          </cell>
        </row>
        <row r="479">
          <cell r="A479">
            <v>0</v>
          </cell>
          <cell r="D479">
            <v>0</v>
          </cell>
          <cell r="E479">
            <v>0</v>
          </cell>
          <cell r="F479">
            <v>0</v>
          </cell>
          <cell r="G479">
            <v>0</v>
          </cell>
        </row>
        <row r="480">
          <cell r="A480" t="str">
            <v>Musical keyboards</v>
          </cell>
          <cell r="D480">
            <v>0</v>
          </cell>
          <cell r="E480">
            <v>0</v>
          </cell>
          <cell r="F480">
            <v>0</v>
          </cell>
          <cell r="G480">
            <v>0</v>
          </cell>
        </row>
        <row r="481">
          <cell r="A481" t="str">
            <v>State 1</v>
          </cell>
          <cell r="D481">
            <v>0</v>
          </cell>
          <cell r="E481">
            <v>0</v>
          </cell>
          <cell r="F481">
            <v>0</v>
          </cell>
          <cell r="G481">
            <v>0</v>
          </cell>
        </row>
        <row r="482">
          <cell r="A482" t="str">
            <v>State 2</v>
          </cell>
          <cell r="D482">
            <v>0</v>
          </cell>
          <cell r="E482">
            <v>0</v>
          </cell>
          <cell r="F482">
            <v>0</v>
          </cell>
          <cell r="G482">
            <v>0</v>
          </cell>
        </row>
        <row r="483">
          <cell r="A483" t="str">
            <v>State 3</v>
          </cell>
          <cell r="D483">
            <v>0</v>
          </cell>
          <cell r="E483">
            <v>0</v>
          </cell>
          <cell r="F483">
            <v>0</v>
          </cell>
          <cell r="G483">
            <v>0</v>
          </cell>
        </row>
        <row r="484">
          <cell r="A484" t="str">
            <v>State 4</v>
          </cell>
          <cell r="D484">
            <v>0</v>
          </cell>
          <cell r="E484">
            <v>0</v>
          </cell>
          <cell r="F484">
            <v>0</v>
          </cell>
          <cell r="G484">
            <v>0</v>
          </cell>
        </row>
        <row r="485">
          <cell r="A485" t="str">
            <v>State 5</v>
          </cell>
          <cell r="D485">
            <v>0</v>
          </cell>
          <cell r="E485">
            <v>0</v>
          </cell>
          <cell r="F485">
            <v>0</v>
          </cell>
          <cell r="G485">
            <v>0</v>
          </cell>
        </row>
        <row r="486">
          <cell r="A486" t="str">
            <v>State 6</v>
          </cell>
          <cell r="D486">
            <v>0</v>
          </cell>
          <cell r="E486">
            <v>0</v>
          </cell>
          <cell r="F486">
            <v>0</v>
          </cell>
          <cell r="G486">
            <v>0</v>
          </cell>
        </row>
        <row r="487">
          <cell r="A487" t="str">
            <v>Unplugged</v>
          </cell>
          <cell r="D487">
            <v>0</v>
          </cell>
          <cell r="E487">
            <v>0</v>
          </cell>
          <cell r="F487">
            <v>0</v>
          </cell>
          <cell r="G487">
            <v>0</v>
          </cell>
        </row>
        <row r="488">
          <cell r="A488">
            <v>0</v>
          </cell>
          <cell r="D488">
            <v>0</v>
          </cell>
          <cell r="E488">
            <v>0</v>
          </cell>
          <cell r="F488">
            <v>0</v>
          </cell>
          <cell r="G488">
            <v>0</v>
          </cell>
        </row>
        <row r="489">
          <cell r="A489" t="str">
            <v>Netbooks</v>
          </cell>
          <cell r="D489">
            <v>0</v>
          </cell>
          <cell r="E489">
            <v>0</v>
          </cell>
          <cell r="F489">
            <v>0</v>
          </cell>
          <cell r="G489">
            <v>0</v>
          </cell>
        </row>
        <row r="490">
          <cell r="A490" t="str">
            <v>State 1</v>
          </cell>
          <cell r="D490">
            <v>0</v>
          </cell>
          <cell r="E490">
            <v>0</v>
          </cell>
          <cell r="F490">
            <v>0</v>
          </cell>
          <cell r="G490">
            <v>0</v>
          </cell>
        </row>
        <row r="491">
          <cell r="A491" t="str">
            <v>State 2</v>
          </cell>
          <cell r="D491">
            <v>0</v>
          </cell>
          <cell r="E491">
            <v>0</v>
          </cell>
          <cell r="F491">
            <v>0</v>
          </cell>
          <cell r="G491">
            <v>0</v>
          </cell>
        </row>
        <row r="492">
          <cell r="A492" t="str">
            <v>State 3</v>
          </cell>
          <cell r="D492">
            <v>0</v>
          </cell>
          <cell r="E492">
            <v>0</v>
          </cell>
          <cell r="F492">
            <v>0</v>
          </cell>
          <cell r="G492">
            <v>0</v>
          </cell>
        </row>
        <row r="493">
          <cell r="A493" t="str">
            <v>State 4</v>
          </cell>
          <cell r="D493">
            <v>0</v>
          </cell>
          <cell r="E493">
            <v>0</v>
          </cell>
          <cell r="F493">
            <v>0</v>
          </cell>
          <cell r="G493">
            <v>0</v>
          </cell>
        </row>
        <row r="494">
          <cell r="A494" t="str">
            <v>State 5</v>
          </cell>
          <cell r="D494">
            <v>0</v>
          </cell>
          <cell r="E494">
            <v>0</v>
          </cell>
          <cell r="F494">
            <v>0</v>
          </cell>
          <cell r="G494">
            <v>0</v>
          </cell>
        </row>
        <row r="495">
          <cell r="A495" t="str">
            <v>State 6</v>
          </cell>
          <cell r="D495">
            <v>0</v>
          </cell>
          <cell r="E495">
            <v>0</v>
          </cell>
          <cell r="F495">
            <v>0</v>
          </cell>
          <cell r="G495">
            <v>0</v>
          </cell>
        </row>
        <row r="496">
          <cell r="A496" t="str">
            <v>Unplugged</v>
          </cell>
          <cell r="D496">
            <v>0</v>
          </cell>
          <cell r="E496">
            <v>0</v>
          </cell>
          <cell r="F496">
            <v>0</v>
          </cell>
          <cell r="G496">
            <v>0</v>
          </cell>
        </row>
        <row r="497">
          <cell r="A497">
            <v>0</v>
          </cell>
          <cell r="D497">
            <v>0</v>
          </cell>
          <cell r="E497">
            <v>0</v>
          </cell>
          <cell r="F497">
            <v>0</v>
          </cell>
          <cell r="G497">
            <v>0</v>
          </cell>
        </row>
        <row r="498">
          <cell r="A498" t="str">
            <v>Notebook computer dock</v>
          </cell>
          <cell r="D498">
            <v>0</v>
          </cell>
          <cell r="E498">
            <v>0</v>
          </cell>
          <cell r="F498">
            <v>0</v>
          </cell>
          <cell r="G498">
            <v>0</v>
          </cell>
        </row>
        <row r="499">
          <cell r="A499" t="str">
            <v>State 1</v>
          </cell>
          <cell r="D499">
            <v>0</v>
          </cell>
          <cell r="E499">
            <v>0</v>
          </cell>
          <cell r="F499">
            <v>0</v>
          </cell>
          <cell r="G499">
            <v>0</v>
          </cell>
        </row>
        <row r="500">
          <cell r="A500" t="str">
            <v>State 2</v>
          </cell>
          <cell r="D500">
            <v>0</v>
          </cell>
          <cell r="E500">
            <v>0</v>
          </cell>
          <cell r="F500">
            <v>0</v>
          </cell>
          <cell r="G500">
            <v>0</v>
          </cell>
        </row>
        <row r="501">
          <cell r="A501" t="str">
            <v>State 3</v>
          </cell>
          <cell r="D501">
            <v>0</v>
          </cell>
          <cell r="E501">
            <v>0</v>
          </cell>
          <cell r="F501">
            <v>0</v>
          </cell>
          <cell r="G501">
            <v>0</v>
          </cell>
        </row>
        <row r="502">
          <cell r="A502" t="str">
            <v>State 4</v>
          </cell>
          <cell r="D502">
            <v>0</v>
          </cell>
          <cell r="E502">
            <v>0</v>
          </cell>
          <cell r="F502">
            <v>0</v>
          </cell>
          <cell r="G502">
            <v>0</v>
          </cell>
        </row>
        <row r="503">
          <cell r="A503" t="str">
            <v>State 5</v>
          </cell>
          <cell r="D503">
            <v>0</v>
          </cell>
          <cell r="E503">
            <v>0</v>
          </cell>
          <cell r="F503">
            <v>0</v>
          </cell>
          <cell r="G503">
            <v>0</v>
          </cell>
        </row>
        <row r="504">
          <cell r="A504" t="str">
            <v>State 6</v>
          </cell>
          <cell r="D504">
            <v>0</v>
          </cell>
          <cell r="E504">
            <v>0</v>
          </cell>
          <cell r="F504">
            <v>0</v>
          </cell>
          <cell r="G504">
            <v>0</v>
          </cell>
        </row>
        <row r="505">
          <cell r="A505" t="str">
            <v>Unplugged</v>
          </cell>
          <cell r="D505">
            <v>0</v>
          </cell>
          <cell r="E505">
            <v>0</v>
          </cell>
          <cell r="F505">
            <v>0</v>
          </cell>
          <cell r="G505">
            <v>0</v>
          </cell>
        </row>
        <row r="506">
          <cell r="A506">
            <v>0</v>
          </cell>
          <cell r="D506">
            <v>0</v>
          </cell>
          <cell r="E506">
            <v>0</v>
          </cell>
          <cell r="F506">
            <v>0</v>
          </cell>
          <cell r="G506">
            <v>0</v>
          </cell>
        </row>
        <row r="507">
          <cell r="A507" t="str">
            <v>Notebook computers</v>
          </cell>
          <cell r="D507">
            <v>0</v>
          </cell>
          <cell r="E507">
            <v>0</v>
          </cell>
          <cell r="F507">
            <v>0</v>
          </cell>
          <cell r="G507">
            <v>0</v>
          </cell>
        </row>
        <row r="508">
          <cell r="A508" t="str">
            <v>State 1</v>
          </cell>
          <cell r="D508">
            <v>1</v>
          </cell>
          <cell r="E508">
            <v>0</v>
          </cell>
          <cell r="F508">
            <v>0</v>
          </cell>
          <cell r="G508">
            <v>0</v>
          </cell>
        </row>
        <row r="509">
          <cell r="A509" t="str">
            <v>State 2</v>
          </cell>
          <cell r="D509">
            <v>0</v>
          </cell>
          <cell r="E509">
            <v>1</v>
          </cell>
          <cell r="F509">
            <v>0</v>
          </cell>
          <cell r="G509">
            <v>0</v>
          </cell>
        </row>
        <row r="510">
          <cell r="A510" t="str">
            <v>State 3</v>
          </cell>
          <cell r="D510">
            <v>0</v>
          </cell>
          <cell r="E510">
            <v>1</v>
          </cell>
          <cell r="F510">
            <v>0</v>
          </cell>
          <cell r="G510">
            <v>0</v>
          </cell>
        </row>
        <row r="511">
          <cell r="A511" t="str">
            <v>State 4</v>
          </cell>
          <cell r="D511">
            <v>0</v>
          </cell>
          <cell r="E511">
            <v>0</v>
          </cell>
          <cell r="F511">
            <v>0</v>
          </cell>
          <cell r="G511">
            <v>0</v>
          </cell>
        </row>
        <row r="512">
          <cell r="A512" t="str">
            <v>State 5</v>
          </cell>
          <cell r="D512">
            <v>0</v>
          </cell>
          <cell r="E512">
            <v>0</v>
          </cell>
          <cell r="F512">
            <v>0</v>
          </cell>
          <cell r="G512">
            <v>0</v>
          </cell>
        </row>
        <row r="513">
          <cell r="A513" t="str">
            <v>State 6</v>
          </cell>
          <cell r="D513">
            <v>0</v>
          </cell>
          <cell r="E513">
            <v>0</v>
          </cell>
          <cell r="F513">
            <v>0</v>
          </cell>
          <cell r="G513">
            <v>0</v>
          </cell>
        </row>
        <row r="514">
          <cell r="A514" t="str">
            <v>Unplugged</v>
          </cell>
          <cell r="D514">
            <v>0</v>
          </cell>
          <cell r="E514">
            <v>0</v>
          </cell>
          <cell r="F514">
            <v>0</v>
          </cell>
          <cell r="G514">
            <v>1</v>
          </cell>
        </row>
        <row r="515">
          <cell r="A515">
            <v>0</v>
          </cell>
          <cell r="D515">
            <v>0</v>
          </cell>
          <cell r="E515">
            <v>0</v>
          </cell>
          <cell r="F515">
            <v>0</v>
          </cell>
          <cell r="G515">
            <v>0</v>
          </cell>
        </row>
        <row r="516">
          <cell r="A516" t="str">
            <v>Other Mobility (Segway scooter)</v>
          </cell>
          <cell r="D516">
            <v>0</v>
          </cell>
          <cell r="E516">
            <v>0</v>
          </cell>
          <cell r="F516">
            <v>0</v>
          </cell>
          <cell r="G516">
            <v>0</v>
          </cell>
        </row>
        <row r="517">
          <cell r="A517" t="str">
            <v>State 1</v>
          </cell>
          <cell r="D517">
            <v>0</v>
          </cell>
          <cell r="E517">
            <v>0</v>
          </cell>
          <cell r="F517">
            <v>0</v>
          </cell>
          <cell r="G517">
            <v>0</v>
          </cell>
        </row>
        <row r="518">
          <cell r="A518" t="str">
            <v>State 2</v>
          </cell>
          <cell r="D518">
            <v>0</v>
          </cell>
          <cell r="E518">
            <v>0</v>
          </cell>
          <cell r="F518">
            <v>0</v>
          </cell>
          <cell r="G518">
            <v>0</v>
          </cell>
        </row>
        <row r="519">
          <cell r="A519" t="str">
            <v>State 3</v>
          </cell>
          <cell r="D519">
            <v>0</v>
          </cell>
          <cell r="E519">
            <v>0</v>
          </cell>
          <cell r="F519">
            <v>0</v>
          </cell>
          <cell r="G519">
            <v>0</v>
          </cell>
        </row>
        <row r="520">
          <cell r="A520" t="str">
            <v>State 4</v>
          </cell>
          <cell r="D520">
            <v>0</v>
          </cell>
          <cell r="E520">
            <v>0</v>
          </cell>
          <cell r="F520">
            <v>0</v>
          </cell>
          <cell r="G520">
            <v>0</v>
          </cell>
        </row>
        <row r="521">
          <cell r="A521" t="str">
            <v>State 5</v>
          </cell>
          <cell r="D521">
            <v>0</v>
          </cell>
          <cell r="E521">
            <v>0</v>
          </cell>
          <cell r="F521">
            <v>0</v>
          </cell>
          <cell r="G521">
            <v>0</v>
          </cell>
        </row>
        <row r="522">
          <cell r="A522" t="str">
            <v>State 6</v>
          </cell>
          <cell r="D522">
            <v>0</v>
          </cell>
          <cell r="E522">
            <v>0</v>
          </cell>
          <cell r="F522">
            <v>0</v>
          </cell>
          <cell r="G522">
            <v>0</v>
          </cell>
        </row>
        <row r="523">
          <cell r="A523" t="str">
            <v>Unplugged</v>
          </cell>
          <cell r="D523">
            <v>0</v>
          </cell>
          <cell r="E523">
            <v>0</v>
          </cell>
          <cell r="F523">
            <v>0</v>
          </cell>
          <cell r="G523">
            <v>0</v>
          </cell>
        </row>
        <row r="524">
          <cell r="A524">
            <v>0</v>
          </cell>
          <cell r="D524">
            <v>0</v>
          </cell>
          <cell r="E524">
            <v>0</v>
          </cell>
          <cell r="F524">
            <v>0</v>
          </cell>
          <cell r="G524">
            <v>0</v>
          </cell>
        </row>
        <row r="525">
          <cell r="A525" t="str">
            <v>Portable CD player</v>
          </cell>
          <cell r="D525">
            <v>0</v>
          </cell>
          <cell r="E525">
            <v>0</v>
          </cell>
          <cell r="F525">
            <v>0</v>
          </cell>
          <cell r="G525">
            <v>0</v>
          </cell>
        </row>
        <row r="526">
          <cell r="A526" t="str">
            <v>State 1</v>
          </cell>
          <cell r="D526">
            <v>1</v>
          </cell>
          <cell r="E526">
            <v>0</v>
          </cell>
          <cell r="F526">
            <v>0</v>
          </cell>
          <cell r="G526">
            <v>0</v>
          </cell>
        </row>
        <row r="527">
          <cell r="A527" t="str">
            <v>State 2</v>
          </cell>
          <cell r="D527">
            <v>1</v>
          </cell>
          <cell r="E527">
            <v>0</v>
          </cell>
          <cell r="F527">
            <v>0</v>
          </cell>
          <cell r="G527">
            <v>0</v>
          </cell>
        </row>
        <row r="528">
          <cell r="A528" t="str">
            <v>State 3</v>
          </cell>
          <cell r="D528">
            <v>1</v>
          </cell>
          <cell r="E528">
            <v>0</v>
          </cell>
          <cell r="F528">
            <v>0</v>
          </cell>
          <cell r="G528">
            <v>0</v>
          </cell>
        </row>
        <row r="529">
          <cell r="A529" t="str">
            <v>State 4</v>
          </cell>
          <cell r="D529">
            <v>0</v>
          </cell>
          <cell r="E529">
            <v>0</v>
          </cell>
          <cell r="F529">
            <v>0</v>
          </cell>
          <cell r="G529">
            <v>0</v>
          </cell>
        </row>
        <row r="530">
          <cell r="A530" t="str">
            <v>State 5</v>
          </cell>
          <cell r="D530">
            <v>0</v>
          </cell>
          <cell r="E530">
            <v>0</v>
          </cell>
          <cell r="F530">
            <v>0</v>
          </cell>
          <cell r="G530">
            <v>0</v>
          </cell>
        </row>
        <row r="531">
          <cell r="A531" t="str">
            <v>State 6</v>
          </cell>
          <cell r="D531">
            <v>0</v>
          </cell>
          <cell r="E531">
            <v>0</v>
          </cell>
          <cell r="F531">
            <v>0</v>
          </cell>
          <cell r="G531">
            <v>0</v>
          </cell>
        </row>
        <row r="532">
          <cell r="A532" t="str">
            <v>Unplugged</v>
          </cell>
          <cell r="D532">
            <v>0</v>
          </cell>
          <cell r="E532">
            <v>0</v>
          </cell>
          <cell r="F532">
            <v>0</v>
          </cell>
          <cell r="G532">
            <v>1</v>
          </cell>
        </row>
        <row r="533">
          <cell r="A533">
            <v>0</v>
          </cell>
          <cell r="D533">
            <v>0</v>
          </cell>
          <cell r="E533">
            <v>0</v>
          </cell>
          <cell r="F533">
            <v>0</v>
          </cell>
          <cell r="G533">
            <v>0</v>
          </cell>
        </row>
        <row r="534">
          <cell r="A534" t="str">
            <v>Portable media players</v>
          </cell>
          <cell r="D534">
            <v>0</v>
          </cell>
          <cell r="E534">
            <v>0</v>
          </cell>
          <cell r="F534">
            <v>0</v>
          </cell>
          <cell r="G534">
            <v>0</v>
          </cell>
        </row>
        <row r="535">
          <cell r="A535" t="str">
            <v>State 1</v>
          </cell>
          <cell r="D535">
            <v>0</v>
          </cell>
          <cell r="E535">
            <v>0</v>
          </cell>
          <cell r="F535">
            <v>0</v>
          </cell>
          <cell r="G535">
            <v>0</v>
          </cell>
        </row>
        <row r="536">
          <cell r="A536" t="str">
            <v>State 2</v>
          </cell>
          <cell r="D536">
            <v>0</v>
          </cell>
          <cell r="E536">
            <v>0</v>
          </cell>
          <cell r="F536">
            <v>0</v>
          </cell>
          <cell r="G536">
            <v>0</v>
          </cell>
        </row>
        <row r="537">
          <cell r="A537" t="str">
            <v>State 3</v>
          </cell>
          <cell r="D537">
            <v>0</v>
          </cell>
          <cell r="E537">
            <v>0</v>
          </cell>
          <cell r="F537">
            <v>0</v>
          </cell>
          <cell r="G537">
            <v>0</v>
          </cell>
        </row>
        <row r="538">
          <cell r="A538" t="str">
            <v>State 4</v>
          </cell>
          <cell r="D538">
            <v>0</v>
          </cell>
          <cell r="E538">
            <v>0</v>
          </cell>
          <cell r="F538">
            <v>0</v>
          </cell>
          <cell r="G538">
            <v>0</v>
          </cell>
        </row>
        <row r="539">
          <cell r="A539" t="str">
            <v>State 5</v>
          </cell>
          <cell r="D539">
            <v>0</v>
          </cell>
          <cell r="E539">
            <v>0</v>
          </cell>
          <cell r="F539">
            <v>0</v>
          </cell>
          <cell r="G539">
            <v>0</v>
          </cell>
        </row>
        <row r="540">
          <cell r="A540" t="str">
            <v>State 6</v>
          </cell>
          <cell r="D540">
            <v>0</v>
          </cell>
          <cell r="E540">
            <v>0</v>
          </cell>
          <cell r="F540">
            <v>0</v>
          </cell>
          <cell r="G540">
            <v>0</v>
          </cell>
        </row>
        <row r="541">
          <cell r="A541" t="str">
            <v>Unplugged</v>
          </cell>
          <cell r="D541">
            <v>0</v>
          </cell>
          <cell r="E541">
            <v>0</v>
          </cell>
          <cell r="F541">
            <v>0</v>
          </cell>
          <cell r="G541">
            <v>0</v>
          </cell>
        </row>
        <row r="542">
          <cell r="A542">
            <v>0</v>
          </cell>
          <cell r="D542">
            <v>0</v>
          </cell>
          <cell r="E542">
            <v>0</v>
          </cell>
          <cell r="F542">
            <v>0</v>
          </cell>
          <cell r="G542">
            <v>0</v>
          </cell>
        </row>
        <row r="543">
          <cell r="A543" t="str">
            <v>Portable stereos</v>
          </cell>
          <cell r="D543">
            <v>0</v>
          </cell>
          <cell r="E543">
            <v>0</v>
          </cell>
          <cell r="F543">
            <v>0</v>
          </cell>
          <cell r="G543">
            <v>0</v>
          </cell>
        </row>
        <row r="544">
          <cell r="A544" t="str">
            <v>State 1</v>
          </cell>
          <cell r="D544">
            <v>1</v>
          </cell>
          <cell r="E544">
            <v>0</v>
          </cell>
          <cell r="F544">
            <v>0</v>
          </cell>
          <cell r="G544">
            <v>0</v>
          </cell>
        </row>
        <row r="545">
          <cell r="A545" t="str">
            <v>State 2</v>
          </cell>
          <cell r="D545">
            <v>1</v>
          </cell>
          <cell r="E545">
            <v>0</v>
          </cell>
          <cell r="F545">
            <v>0</v>
          </cell>
          <cell r="G545">
            <v>0</v>
          </cell>
        </row>
        <row r="546">
          <cell r="A546" t="str">
            <v>State 3</v>
          </cell>
          <cell r="D546">
            <v>0</v>
          </cell>
          <cell r="E546">
            <v>1</v>
          </cell>
          <cell r="F546">
            <v>0</v>
          </cell>
          <cell r="G546">
            <v>0</v>
          </cell>
        </row>
        <row r="547">
          <cell r="A547" t="str">
            <v>State 4</v>
          </cell>
          <cell r="D547">
            <v>0</v>
          </cell>
          <cell r="E547">
            <v>0</v>
          </cell>
          <cell r="F547">
            <v>0</v>
          </cell>
          <cell r="G547">
            <v>0</v>
          </cell>
        </row>
        <row r="548">
          <cell r="A548" t="str">
            <v>State 5</v>
          </cell>
          <cell r="D548">
            <v>0</v>
          </cell>
          <cell r="E548">
            <v>0</v>
          </cell>
          <cell r="F548">
            <v>0</v>
          </cell>
          <cell r="G548">
            <v>0</v>
          </cell>
        </row>
        <row r="549">
          <cell r="A549" t="str">
            <v>State 6</v>
          </cell>
          <cell r="D549">
            <v>0</v>
          </cell>
          <cell r="E549">
            <v>0</v>
          </cell>
          <cell r="F549">
            <v>0</v>
          </cell>
          <cell r="G549">
            <v>0</v>
          </cell>
        </row>
        <row r="550">
          <cell r="A550" t="str">
            <v>Unplugged</v>
          </cell>
          <cell r="D550">
            <v>0</v>
          </cell>
          <cell r="E550">
            <v>0</v>
          </cell>
          <cell r="F550">
            <v>1</v>
          </cell>
          <cell r="G550">
            <v>1</v>
          </cell>
        </row>
        <row r="551">
          <cell r="A551">
            <v>0</v>
          </cell>
          <cell r="D551">
            <v>0</v>
          </cell>
          <cell r="E551">
            <v>0</v>
          </cell>
          <cell r="F551">
            <v>0</v>
          </cell>
          <cell r="G551">
            <v>0</v>
          </cell>
        </row>
        <row r="552">
          <cell r="A552" t="str">
            <v>Portable Video Game Systems (PSP)</v>
          </cell>
          <cell r="D552">
            <v>0</v>
          </cell>
          <cell r="E552">
            <v>0</v>
          </cell>
          <cell r="F552">
            <v>0</v>
          </cell>
          <cell r="G552">
            <v>0</v>
          </cell>
        </row>
        <row r="553">
          <cell r="A553" t="str">
            <v>State 1</v>
          </cell>
          <cell r="D553">
            <v>0</v>
          </cell>
          <cell r="E553">
            <v>0</v>
          </cell>
          <cell r="F553">
            <v>0</v>
          </cell>
          <cell r="G553">
            <v>0</v>
          </cell>
        </row>
        <row r="554">
          <cell r="A554" t="str">
            <v>State 2</v>
          </cell>
          <cell r="D554">
            <v>0</v>
          </cell>
          <cell r="E554">
            <v>0</v>
          </cell>
          <cell r="F554">
            <v>0</v>
          </cell>
          <cell r="G554">
            <v>0</v>
          </cell>
        </row>
        <row r="555">
          <cell r="A555" t="str">
            <v>State 3</v>
          </cell>
          <cell r="D555">
            <v>0</v>
          </cell>
          <cell r="E555">
            <v>0</v>
          </cell>
          <cell r="F555">
            <v>0</v>
          </cell>
          <cell r="G555">
            <v>0</v>
          </cell>
        </row>
        <row r="556">
          <cell r="A556" t="str">
            <v>State 4</v>
          </cell>
          <cell r="D556">
            <v>0</v>
          </cell>
          <cell r="E556">
            <v>0</v>
          </cell>
          <cell r="F556">
            <v>0</v>
          </cell>
          <cell r="G556">
            <v>0</v>
          </cell>
        </row>
        <row r="557">
          <cell r="A557" t="str">
            <v>State 5</v>
          </cell>
          <cell r="D557">
            <v>0</v>
          </cell>
          <cell r="E557">
            <v>0</v>
          </cell>
          <cell r="F557">
            <v>0</v>
          </cell>
          <cell r="G557">
            <v>0</v>
          </cell>
        </row>
        <row r="558">
          <cell r="A558" t="str">
            <v>State 6</v>
          </cell>
          <cell r="D558">
            <v>0</v>
          </cell>
          <cell r="E558">
            <v>0</v>
          </cell>
          <cell r="F558">
            <v>0</v>
          </cell>
          <cell r="G558">
            <v>0</v>
          </cell>
        </row>
        <row r="559">
          <cell r="A559" t="str">
            <v>Unplugged</v>
          </cell>
          <cell r="D559">
            <v>0</v>
          </cell>
          <cell r="E559">
            <v>0</v>
          </cell>
          <cell r="F559">
            <v>0</v>
          </cell>
          <cell r="G559">
            <v>0</v>
          </cell>
        </row>
        <row r="560">
          <cell r="A560">
            <v>0</v>
          </cell>
          <cell r="D560">
            <v>0</v>
          </cell>
          <cell r="E560">
            <v>0</v>
          </cell>
          <cell r="F560">
            <v>0</v>
          </cell>
          <cell r="G560">
            <v>0</v>
          </cell>
        </row>
        <row r="561">
          <cell r="A561" t="str">
            <v>Professional Power tools</v>
          </cell>
          <cell r="D561">
            <v>0</v>
          </cell>
          <cell r="E561">
            <v>0</v>
          </cell>
          <cell r="F561">
            <v>0</v>
          </cell>
          <cell r="G561">
            <v>0</v>
          </cell>
        </row>
        <row r="562">
          <cell r="A562" t="str">
            <v>State 1</v>
          </cell>
          <cell r="D562">
            <v>0</v>
          </cell>
          <cell r="E562">
            <v>0</v>
          </cell>
          <cell r="F562">
            <v>0</v>
          </cell>
          <cell r="G562">
            <v>0</v>
          </cell>
        </row>
        <row r="563">
          <cell r="A563" t="str">
            <v>State 2</v>
          </cell>
          <cell r="D563">
            <v>0</v>
          </cell>
          <cell r="E563">
            <v>0</v>
          </cell>
          <cell r="F563">
            <v>0</v>
          </cell>
          <cell r="G563">
            <v>0</v>
          </cell>
        </row>
        <row r="564">
          <cell r="A564" t="str">
            <v>State 3</v>
          </cell>
          <cell r="D564">
            <v>0</v>
          </cell>
          <cell r="E564">
            <v>0</v>
          </cell>
          <cell r="F564">
            <v>0</v>
          </cell>
          <cell r="G564">
            <v>0</v>
          </cell>
        </row>
        <row r="565">
          <cell r="A565" t="str">
            <v>State 4</v>
          </cell>
          <cell r="D565">
            <v>0</v>
          </cell>
          <cell r="E565">
            <v>0</v>
          </cell>
          <cell r="F565">
            <v>0</v>
          </cell>
          <cell r="G565">
            <v>0</v>
          </cell>
        </row>
        <row r="566">
          <cell r="A566" t="str">
            <v>State 5</v>
          </cell>
          <cell r="D566">
            <v>0</v>
          </cell>
          <cell r="E566">
            <v>0</v>
          </cell>
          <cell r="F566">
            <v>0</v>
          </cell>
          <cell r="G566">
            <v>0</v>
          </cell>
        </row>
        <row r="567">
          <cell r="A567" t="str">
            <v>State 6</v>
          </cell>
          <cell r="D567">
            <v>0</v>
          </cell>
          <cell r="E567">
            <v>0</v>
          </cell>
          <cell r="F567">
            <v>0</v>
          </cell>
          <cell r="G567">
            <v>0</v>
          </cell>
        </row>
        <row r="568">
          <cell r="A568" t="str">
            <v>Unplugged</v>
          </cell>
          <cell r="D568">
            <v>0</v>
          </cell>
          <cell r="E568">
            <v>0</v>
          </cell>
          <cell r="F568">
            <v>0</v>
          </cell>
          <cell r="G568">
            <v>0</v>
          </cell>
        </row>
        <row r="569">
          <cell r="A569">
            <v>0</v>
          </cell>
          <cell r="D569">
            <v>0</v>
          </cell>
          <cell r="E569">
            <v>0</v>
          </cell>
          <cell r="F569">
            <v>0</v>
          </cell>
          <cell r="G569">
            <v>0</v>
          </cell>
        </row>
        <row r="570">
          <cell r="A570" t="str">
            <v>Radio</v>
          </cell>
          <cell r="D570">
            <v>0</v>
          </cell>
          <cell r="E570">
            <v>0</v>
          </cell>
          <cell r="F570">
            <v>0</v>
          </cell>
          <cell r="G570">
            <v>0</v>
          </cell>
        </row>
        <row r="571">
          <cell r="A571" t="str">
            <v>State 1</v>
          </cell>
          <cell r="D571">
            <v>1</v>
          </cell>
          <cell r="E571">
            <v>0</v>
          </cell>
          <cell r="F571">
            <v>0</v>
          </cell>
          <cell r="G571">
            <v>0</v>
          </cell>
        </row>
        <row r="572">
          <cell r="A572" t="str">
            <v>State 2</v>
          </cell>
          <cell r="D572">
            <v>0</v>
          </cell>
          <cell r="E572">
            <v>1</v>
          </cell>
          <cell r="F572">
            <v>0</v>
          </cell>
          <cell r="G572">
            <v>0</v>
          </cell>
        </row>
        <row r="573">
          <cell r="A573" t="str">
            <v>State 3</v>
          </cell>
          <cell r="D573">
            <v>0</v>
          </cell>
          <cell r="E573">
            <v>1</v>
          </cell>
          <cell r="F573">
            <v>0</v>
          </cell>
          <cell r="G573">
            <v>0</v>
          </cell>
        </row>
        <row r="574">
          <cell r="A574" t="str">
            <v>State 4</v>
          </cell>
          <cell r="D574">
            <v>0</v>
          </cell>
          <cell r="E574">
            <v>0</v>
          </cell>
          <cell r="F574">
            <v>0</v>
          </cell>
          <cell r="G574">
            <v>0</v>
          </cell>
        </row>
        <row r="575">
          <cell r="A575" t="str">
            <v>State 5</v>
          </cell>
          <cell r="D575">
            <v>0</v>
          </cell>
          <cell r="E575">
            <v>0</v>
          </cell>
          <cell r="F575">
            <v>0</v>
          </cell>
          <cell r="G575">
            <v>0</v>
          </cell>
        </row>
        <row r="576">
          <cell r="A576" t="str">
            <v>State 6</v>
          </cell>
          <cell r="D576">
            <v>0</v>
          </cell>
          <cell r="E576">
            <v>0</v>
          </cell>
          <cell r="F576">
            <v>0</v>
          </cell>
          <cell r="G576">
            <v>0</v>
          </cell>
        </row>
        <row r="577">
          <cell r="A577" t="str">
            <v>Unplugged</v>
          </cell>
          <cell r="D577">
            <v>0</v>
          </cell>
          <cell r="E577">
            <v>0</v>
          </cell>
          <cell r="F577">
            <v>0</v>
          </cell>
          <cell r="G577">
            <v>1</v>
          </cell>
        </row>
        <row r="578">
          <cell r="A578">
            <v>0</v>
          </cell>
          <cell r="D578">
            <v>0</v>
          </cell>
          <cell r="E578">
            <v>0</v>
          </cell>
          <cell r="F578">
            <v>0</v>
          </cell>
          <cell r="G578">
            <v>0</v>
          </cell>
        </row>
        <row r="579">
          <cell r="A579" t="str">
            <v>Rechargeable Fans</v>
          </cell>
          <cell r="D579">
            <v>0</v>
          </cell>
          <cell r="E579">
            <v>0</v>
          </cell>
          <cell r="F579">
            <v>0</v>
          </cell>
          <cell r="G579">
            <v>0</v>
          </cell>
        </row>
        <row r="580">
          <cell r="A580" t="str">
            <v>State 1</v>
          </cell>
          <cell r="D580">
            <v>0</v>
          </cell>
          <cell r="E580">
            <v>0</v>
          </cell>
          <cell r="F580">
            <v>0</v>
          </cell>
          <cell r="G580">
            <v>0</v>
          </cell>
        </row>
        <row r="581">
          <cell r="A581" t="str">
            <v>State 2</v>
          </cell>
          <cell r="D581">
            <v>0</v>
          </cell>
          <cell r="E581">
            <v>0</v>
          </cell>
          <cell r="F581">
            <v>0</v>
          </cell>
          <cell r="G581">
            <v>0</v>
          </cell>
        </row>
        <row r="582">
          <cell r="A582" t="str">
            <v>State 3</v>
          </cell>
          <cell r="D582">
            <v>0</v>
          </cell>
          <cell r="E582">
            <v>0</v>
          </cell>
          <cell r="F582">
            <v>0</v>
          </cell>
          <cell r="G582">
            <v>0</v>
          </cell>
        </row>
        <row r="583">
          <cell r="A583" t="str">
            <v>State 4</v>
          </cell>
          <cell r="D583">
            <v>0</v>
          </cell>
          <cell r="E583">
            <v>0</v>
          </cell>
          <cell r="F583">
            <v>0</v>
          </cell>
          <cell r="G583">
            <v>0</v>
          </cell>
        </row>
        <row r="584">
          <cell r="A584" t="str">
            <v>State 5</v>
          </cell>
          <cell r="D584">
            <v>0</v>
          </cell>
          <cell r="E584">
            <v>0</v>
          </cell>
          <cell r="F584">
            <v>0</v>
          </cell>
          <cell r="G584">
            <v>0</v>
          </cell>
        </row>
        <row r="585">
          <cell r="A585" t="str">
            <v>State 6</v>
          </cell>
          <cell r="D585">
            <v>0</v>
          </cell>
          <cell r="E585">
            <v>0</v>
          </cell>
          <cell r="F585">
            <v>0</v>
          </cell>
          <cell r="G585">
            <v>0</v>
          </cell>
        </row>
        <row r="586">
          <cell r="A586" t="str">
            <v>Unplugged</v>
          </cell>
          <cell r="D586">
            <v>0</v>
          </cell>
          <cell r="E586">
            <v>0</v>
          </cell>
          <cell r="F586">
            <v>0</v>
          </cell>
          <cell r="G586">
            <v>0</v>
          </cell>
        </row>
        <row r="587">
          <cell r="A587">
            <v>0</v>
          </cell>
          <cell r="D587">
            <v>0</v>
          </cell>
          <cell r="E587">
            <v>0</v>
          </cell>
          <cell r="F587">
            <v>0</v>
          </cell>
          <cell r="G587">
            <v>0</v>
          </cell>
        </row>
        <row r="588">
          <cell r="A588" t="str">
            <v>Rechargeable lanterns/flashlights</v>
          </cell>
          <cell r="D588">
            <v>0</v>
          </cell>
          <cell r="E588">
            <v>0</v>
          </cell>
          <cell r="F588">
            <v>0</v>
          </cell>
          <cell r="G588">
            <v>0</v>
          </cell>
        </row>
        <row r="589">
          <cell r="A589" t="str">
            <v>State 1</v>
          </cell>
          <cell r="D589">
            <v>0</v>
          </cell>
          <cell r="E589">
            <v>0</v>
          </cell>
          <cell r="F589">
            <v>0</v>
          </cell>
          <cell r="G589">
            <v>0</v>
          </cell>
        </row>
        <row r="590">
          <cell r="A590" t="str">
            <v>State 2</v>
          </cell>
          <cell r="D590">
            <v>0</v>
          </cell>
          <cell r="E590">
            <v>0</v>
          </cell>
          <cell r="F590">
            <v>0</v>
          </cell>
          <cell r="G590">
            <v>0</v>
          </cell>
        </row>
        <row r="591">
          <cell r="A591" t="str">
            <v>State 3</v>
          </cell>
          <cell r="D591">
            <v>0</v>
          </cell>
          <cell r="E591">
            <v>0</v>
          </cell>
          <cell r="F591">
            <v>0</v>
          </cell>
          <cell r="G591">
            <v>0</v>
          </cell>
        </row>
        <row r="592">
          <cell r="A592" t="str">
            <v>State 4</v>
          </cell>
          <cell r="D592">
            <v>0</v>
          </cell>
          <cell r="E592">
            <v>0</v>
          </cell>
          <cell r="F592">
            <v>0</v>
          </cell>
          <cell r="G592">
            <v>0</v>
          </cell>
        </row>
        <row r="593">
          <cell r="A593" t="str">
            <v>State 5</v>
          </cell>
          <cell r="D593">
            <v>0</v>
          </cell>
          <cell r="E593">
            <v>0</v>
          </cell>
          <cell r="F593">
            <v>0</v>
          </cell>
          <cell r="G593">
            <v>0</v>
          </cell>
        </row>
        <row r="594">
          <cell r="A594" t="str">
            <v>State 6</v>
          </cell>
          <cell r="D594">
            <v>0</v>
          </cell>
          <cell r="E594">
            <v>0</v>
          </cell>
          <cell r="F594">
            <v>0</v>
          </cell>
          <cell r="G594">
            <v>0</v>
          </cell>
        </row>
        <row r="595">
          <cell r="A595" t="str">
            <v>Unplugged</v>
          </cell>
          <cell r="D595">
            <v>0</v>
          </cell>
          <cell r="E595">
            <v>0</v>
          </cell>
          <cell r="F595">
            <v>0</v>
          </cell>
          <cell r="G595">
            <v>0</v>
          </cell>
        </row>
        <row r="596">
          <cell r="A596">
            <v>0</v>
          </cell>
          <cell r="D596">
            <v>0</v>
          </cell>
          <cell r="E596">
            <v>0</v>
          </cell>
          <cell r="F596">
            <v>0</v>
          </cell>
          <cell r="G596">
            <v>0</v>
          </cell>
        </row>
        <row r="597">
          <cell r="A597" t="str">
            <v>Rechargeable toothbrushes</v>
          </cell>
          <cell r="D597">
            <v>0</v>
          </cell>
          <cell r="E597">
            <v>0</v>
          </cell>
          <cell r="F597">
            <v>0</v>
          </cell>
          <cell r="G597">
            <v>0</v>
          </cell>
        </row>
        <row r="598">
          <cell r="A598" t="str">
            <v>State 1</v>
          </cell>
          <cell r="D598">
            <v>1</v>
          </cell>
          <cell r="E598">
            <v>0</v>
          </cell>
          <cell r="F598">
            <v>0</v>
          </cell>
          <cell r="G598">
            <v>0</v>
          </cell>
        </row>
        <row r="599">
          <cell r="A599" t="str">
            <v>State 2</v>
          </cell>
          <cell r="D599">
            <v>0</v>
          </cell>
          <cell r="E599">
            <v>0</v>
          </cell>
          <cell r="F599">
            <v>0</v>
          </cell>
          <cell r="G599">
            <v>0</v>
          </cell>
        </row>
        <row r="600">
          <cell r="A600" t="str">
            <v>State 3</v>
          </cell>
          <cell r="D600">
            <v>1</v>
          </cell>
          <cell r="E600">
            <v>0</v>
          </cell>
          <cell r="F600">
            <v>0</v>
          </cell>
          <cell r="G600">
            <v>0</v>
          </cell>
        </row>
        <row r="601">
          <cell r="A601" t="str">
            <v>State 4</v>
          </cell>
          <cell r="D601">
            <v>0</v>
          </cell>
          <cell r="E601">
            <v>0</v>
          </cell>
          <cell r="F601">
            <v>0</v>
          </cell>
          <cell r="G601">
            <v>0</v>
          </cell>
        </row>
        <row r="602">
          <cell r="A602" t="str">
            <v>State 5</v>
          </cell>
          <cell r="D602">
            <v>0</v>
          </cell>
          <cell r="E602">
            <v>0</v>
          </cell>
          <cell r="F602">
            <v>0</v>
          </cell>
          <cell r="G602">
            <v>0</v>
          </cell>
        </row>
        <row r="603">
          <cell r="A603" t="str">
            <v>State 6</v>
          </cell>
          <cell r="D603">
            <v>0</v>
          </cell>
          <cell r="E603">
            <v>0</v>
          </cell>
          <cell r="F603">
            <v>0</v>
          </cell>
          <cell r="G603">
            <v>0</v>
          </cell>
        </row>
        <row r="604">
          <cell r="A604" t="str">
            <v>Unplugged</v>
          </cell>
          <cell r="D604">
            <v>0</v>
          </cell>
          <cell r="E604">
            <v>0</v>
          </cell>
          <cell r="F604">
            <v>0</v>
          </cell>
          <cell r="G604">
            <v>1</v>
          </cell>
        </row>
        <row r="605">
          <cell r="A605">
            <v>0</v>
          </cell>
          <cell r="D605">
            <v>0</v>
          </cell>
          <cell r="E605">
            <v>0</v>
          </cell>
          <cell r="F605">
            <v>0</v>
          </cell>
          <cell r="G605">
            <v>0</v>
          </cell>
        </row>
        <row r="606">
          <cell r="A606" t="str">
            <v>Routers</v>
          </cell>
          <cell r="D606">
            <v>0</v>
          </cell>
          <cell r="E606">
            <v>0</v>
          </cell>
          <cell r="F606">
            <v>0</v>
          </cell>
          <cell r="G606">
            <v>0</v>
          </cell>
        </row>
        <row r="607">
          <cell r="A607" t="str">
            <v>State 1</v>
          </cell>
          <cell r="D607">
            <v>1</v>
          </cell>
          <cell r="E607">
            <v>0</v>
          </cell>
          <cell r="F607">
            <v>0</v>
          </cell>
          <cell r="G607">
            <v>0</v>
          </cell>
        </row>
        <row r="608">
          <cell r="A608" t="str">
            <v>State 2</v>
          </cell>
          <cell r="D608">
            <v>0</v>
          </cell>
          <cell r="E608">
            <v>0</v>
          </cell>
          <cell r="F608">
            <v>0</v>
          </cell>
          <cell r="G608">
            <v>0</v>
          </cell>
        </row>
        <row r="609">
          <cell r="A609" t="str">
            <v>State 3</v>
          </cell>
          <cell r="D609">
            <v>0</v>
          </cell>
          <cell r="E609">
            <v>1</v>
          </cell>
          <cell r="F609">
            <v>0</v>
          </cell>
          <cell r="G609">
            <v>0</v>
          </cell>
        </row>
        <row r="610">
          <cell r="A610" t="str">
            <v>State 4</v>
          </cell>
          <cell r="D610">
            <v>0</v>
          </cell>
          <cell r="E610">
            <v>0</v>
          </cell>
          <cell r="F610">
            <v>0</v>
          </cell>
          <cell r="G610">
            <v>0</v>
          </cell>
        </row>
        <row r="611">
          <cell r="A611" t="str">
            <v>State 5</v>
          </cell>
          <cell r="D611">
            <v>0</v>
          </cell>
          <cell r="E611">
            <v>0</v>
          </cell>
          <cell r="F611">
            <v>0</v>
          </cell>
          <cell r="G611">
            <v>0</v>
          </cell>
        </row>
        <row r="612">
          <cell r="A612" t="str">
            <v>State 6</v>
          </cell>
          <cell r="D612">
            <v>0</v>
          </cell>
          <cell r="E612">
            <v>0</v>
          </cell>
          <cell r="F612">
            <v>0</v>
          </cell>
          <cell r="G612">
            <v>0</v>
          </cell>
        </row>
        <row r="613">
          <cell r="A613" t="str">
            <v>Unplugged</v>
          </cell>
          <cell r="D613">
            <v>0</v>
          </cell>
          <cell r="E613">
            <v>0</v>
          </cell>
          <cell r="F613">
            <v>0</v>
          </cell>
          <cell r="G613">
            <v>1</v>
          </cell>
        </row>
        <row r="614">
          <cell r="A614">
            <v>0</v>
          </cell>
          <cell r="D614">
            <v>0</v>
          </cell>
          <cell r="E614">
            <v>0</v>
          </cell>
          <cell r="F614">
            <v>0</v>
          </cell>
          <cell r="G614">
            <v>0</v>
          </cell>
        </row>
        <row r="615">
          <cell r="A615" t="str">
            <v>Sump Pumps (emergency battery back up</v>
          </cell>
          <cell r="D615">
            <v>0</v>
          </cell>
          <cell r="E615">
            <v>0</v>
          </cell>
          <cell r="F615">
            <v>0</v>
          </cell>
          <cell r="G615">
            <v>0</v>
          </cell>
        </row>
        <row r="616">
          <cell r="A616" t="str">
            <v>State 1</v>
          </cell>
          <cell r="D616">
            <v>0</v>
          </cell>
          <cell r="E616">
            <v>0</v>
          </cell>
          <cell r="F616">
            <v>0</v>
          </cell>
          <cell r="G616">
            <v>0</v>
          </cell>
        </row>
        <row r="617">
          <cell r="A617" t="str">
            <v>State 2</v>
          </cell>
          <cell r="D617">
            <v>0</v>
          </cell>
          <cell r="E617">
            <v>0</v>
          </cell>
          <cell r="F617">
            <v>0</v>
          </cell>
          <cell r="G617">
            <v>0</v>
          </cell>
        </row>
        <row r="618">
          <cell r="A618" t="str">
            <v>State 3</v>
          </cell>
          <cell r="D618">
            <v>0</v>
          </cell>
          <cell r="E618">
            <v>0</v>
          </cell>
          <cell r="F618">
            <v>0</v>
          </cell>
          <cell r="G618">
            <v>0</v>
          </cell>
        </row>
        <row r="619">
          <cell r="A619" t="str">
            <v>State 4</v>
          </cell>
          <cell r="D619">
            <v>0</v>
          </cell>
          <cell r="E619">
            <v>0</v>
          </cell>
          <cell r="F619">
            <v>0</v>
          </cell>
          <cell r="G619">
            <v>0</v>
          </cell>
        </row>
        <row r="620">
          <cell r="A620" t="str">
            <v>State 5</v>
          </cell>
          <cell r="D620">
            <v>0</v>
          </cell>
          <cell r="E620">
            <v>0</v>
          </cell>
          <cell r="F620">
            <v>0</v>
          </cell>
          <cell r="G620">
            <v>0</v>
          </cell>
        </row>
        <row r="621">
          <cell r="A621" t="str">
            <v>State 6</v>
          </cell>
          <cell r="D621">
            <v>0</v>
          </cell>
          <cell r="E621">
            <v>0</v>
          </cell>
          <cell r="F621">
            <v>0</v>
          </cell>
          <cell r="G621">
            <v>0</v>
          </cell>
        </row>
        <row r="622">
          <cell r="A622" t="str">
            <v>Unplugged</v>
          </cell>
          <cell r="D622">
            <v>0</v>
          </cell>
          <cell r="E622">
            <v>0</v>
          </cell>
          <cell r="F622">
            <v>0</v>
          </cell>
          <cell r="G622">
            <v>0</v>
          </cell>
        </row>
        <row r="623">
          <cell r="A623">
            <v>0</v>
          </cell>
          <cell r="D623">
            <v>0</v>
          </cell>
          <cell r="E623">
            <v>0</v>
          </cell>
          <cell r="F623">
            <v>0</v>
          </cell>
          <cell r="G623">
            <v>0</v>
          </cell>
        </row>
        <row r="624">
          <cell r="A624" t="str">
            <v>Telephone answering devices</v>
          </cell>
          <cell r="D624">
            <v>0</v>
          </cell>
          <cell r="E624">
            <v>0</v>
          </cell>
          <cell r="F624">
            <v>0</v>
          </cell>
          <cell r="G624">
            <v>0</v>
          </cell>
        </row>
        <row r="625">
          <cell r="A625" t="str">
            <v>State 1</v>
          </cell>
          <cell r="D625">
            <v>1</v>
          </cell>
          <cell r="E625">
            <v>0</v>
          </cell>
          <cell r="F625">
            <v>0</v>
          </cell>
          <cell r="G625">
            <v>0</v>
          </cell>
        </row>
        <row r="626">
          <cell r="A626" t="str">
            <v>State 2</v>
          </cell>
          <cell r="D626">
            <v>0</v>
          </cell>
          <cell r="E626">
            <v>0</v>
          </cell>
          <cell r="F626">
            <v>0</v>
          </cell>
          <cell r="G626">
            <v>0</v>
          </cell>
        </row>
        <row r="627">
          <cell r="A627" t="str">
            <v>State 3</v>
          </cell>
          <cell r="D627">
            <v>1</v>
          </cell>
          <cell r="E627">
            <v>0</v>
          </cell>
          <cell r="F627">
            <v>0</v>
          </cell>
          <cell r="G627">
            <v>0</v>
          </cell>
        </row>
        <row r="628">
          <cell r="A628" t="str">
            <v>State 4</v>
          </cell>
          <cell r="D628">
            <v>0</v>
          </cell>
          <cell r="E628">
            <v>0</v>
          </cell>
          <cell r="F628">
            <v>0</v>
          </cell>
          <cell r="G628">
            <v>0</v>
          </cell>
        </row>
        <row r="629">
          <cell r="A629" t="str">
            <v>State 5</v>
          </cell>
          <cell r="D629">
            <v>0</v>
          </cell>
          <cell r="E629">
            <v>0</v>
          </cell>
          <cell r="F629">
            <v>0</v>
          </cell>
          <cell r="G629">
            <v>0</v>
          </cell>
        </row>
        <row r="630">
          <cell r="A630" t="str">
            <v>State 6</v>
          </cell>
          <cell r="D630">
            <v>0</v>
          </cell>
          <cell r="E630">
            <v>0</v>
          </cell>
          <cell r="F630">
            <v>0</v>
          </cell>
          <cell r="G630">
            <v>0</v>
          </cell>
        </row>
        <row r="631">
          <cell r="A631" t="str">
            <v>Unplugged</v>
          </cell>
          <cell r="D631">
            <v>0</v>
          </cell>
          <cell r="E631">
            <v>0</v>
          </cell>
          <cell r="F631">
            <v>0</v>
          </cell>
          <cell r="G631">
            <v>1</v>
          </cell>
        </row>
        <row r="632">
          <cell r="A632">
            <v>0</v>
          </cell>
          <cell r="D632">
            <v>0</v>
          </cell>
          <cell r="E632">
            <v>0</v>
          </cell>
          <cell r="F632">
            <v>0</v>
          </cell>
          <cell r="G632">
            <v>0</v>
          </cell>
        </row>
        <row r="633">
          <cell r="A633" t="str">
            <v>Uninteruptible Power Supplies</v>
          </cell>
          <cell r="D633">
            <v>0</v>
          </cell>
          <cell r="E633">
            <v>0</v>
          </cell>
          <cell r="F633">
            <v>0</v>
          </cell>
          <cell r="G633">
            <v>0</v>
          </cell>
        </row>
        <row r="634">
          <cell r="A634" t="str">
            <v>State 1</v>
          </cell>
          <cell r="D634">
            <v>0</v>
          </cell>
          <cell r="E634">
            <v>0</v>
          </cell>
          <cell r="F634">
            <v>0</v>
          </cell>
          <cell r="G634">
            <v>0</v>
          </cell>
        </row>
        <row r="635">
          <cell r="A635" t="str">
            <v>State 2</v>
          </cell>
          <cell r="D635">
            <v>0</v>
          </cell>
          <cell r="E635">
            <v>0</v>
          </cell>
          <cell r="F635">
            <v>0</v>
          </cell>
          <cell r="G635">
            <v>0</v>
          </cell>
        </row>
        <row r="636">
          <cell r="A636" t="str">
            <v>State 3</v>
          </cell>
          <cell r="D636">
            <v>0</v>
          </cell>
          <cell r="E636">
            <v>0</v>
          </cell>
          <cell r="F636">
            <v>0</v>
          </cell>
          <cell r="G636">
            <v>0</v>
          </cell>
        </row>
        <row r="637">
          <cell r="A637" t="str">
            <v>State 4</v>
          </cell>
          <cell r="D637">
            <v>0</v>
          </cell>
          <cell r="E637">
            <v>0</v>
          </cell>
          <cell r="F637">
            <v>0</v>
          </cell>
          <cell r="G637">
            <v>0</v>
          </cell>
        </row>
        <row r="638">
          <cell r="A638" t="str">
            <v>State 5</v>
          </cell>
          <cell r="D638">
            <v>0</v>
          </cell>
          <cell r="E638">
            <v>0</v>
          </cell>
          <cell r="F638">
            <v>0</v>
          </cell>
          <cell r="G638">
            <v>0</v>
          </cell>
        </row>
        <row r="639">
          <cell r="A639" t="str">
            <v>State 6</v>
          </cell>
          <cell r="D639">
            <v>0</v>
          </cell>
          <cell r="E639">
            <v>0</v>
          </cell>
          <cell r="F639">
            <v>0</v>
          </cell>
          <cell r="G639">
            <v>0</v>
          </cell>
        </row>
        <row r="640">
          <cell r="A640" t="str">
            <v>Unplugged</v>
          </cell>
          <cell r="D640">
            <v>0</v>
          </cell>
          <cell r="E640">
            <v>0</v>
          </cell>
          <cell r="F640">
            <v>0</v>
          </cell>
          <cell r="G640">
            <v>0</v>
          </cell>
        </row>
        <row r="641">
          <cell r="A641">
            <v>0</v>
          </cell>
          <cell r="D641">
            <v>0</v>
          </cell>
          <cell r="E641">
            <v>0</v>
          </cell>
          <cell r="F641">
            <v>0</v>
          </cell>
          <cell r="G641">
            <v>0</v>
          </cell>
        </row>
        <row r="642">
          <cell r="A642" t="str">
            <v>Universal battery chargers</v>
          </cell>
          <cell r="D642">
            <v>0</v>
          </cell>
          <cell r="E642">
            <v>0</v>
          </cell>
          <cell r="F642">
            <v>0</v>
          </cell>
          <cell r="G642">
            <v>0</v>
          </cell>
        </row>
        <row r="643">
          <cell r="A643" t="str">
            <v>State 1</v>
          </cell>
          <cell r="D643">
            <v>0</v>
          </cell>
          <cell r="E643">
            <v>0</v>
          </cell>
          <cell r="F643">
            <v>0</v>
          </cell>
          <cell r="G643">
            <v>0</v>
          </cell>
        </row>
        <row r="644">
          <cell r="A644" t="str">
            <v>State 2</v>
          </cell>
          <cell r="D644">
            <v>0</v>
          </cell>
          <cell r="E644">
            <v>0</v>
          </cell>
          <cell r="F644">
            <v>0</v>
          </cell>
          <cell r="G644">
            <v>0</v>
          </cell>
        </row>
        <row r="645">
          <cell r="A645" t="str">
            <v>State 3</v>
          </cell>
          <cell r="D645">
            <v>0</v>
          </cell>
          <cell r="E645">
            <v>0</v>
          </cell>
          <cell r="F645">
            <v>0</v>
          </cell>
          <cell r="G645">
            <v>0</v>
          </cell>
        </row>
        <row r="646">
          <cell r="A646" t="str">
            <v>State 4</v>
          </cell>
          <cell r="D646">
            <v>0</v>
          </cell>
          <cell r="E646">
            <v>0</v>
          </cell>
          <cell r="F646">
            <v>0</v>
          </cell>
          <cell r="G646">
            <v>0</v>
          </cell>
        </row>
        <row r="647">
          <cell r="A647" t="str">
            <v>State 5</v>
          </cell>
          <cell r="D647">
            <v>0</v>
          </cell>
          <cell r="E647">
            <v>0</v>
          </cell>
          <cell r="F647">
            <v>0</v>
          </cell>
          <cell r="G647">
            <v>0</v>
          </cell>
        </row>
        <row r="648">
          <cell r="A648" t="str">
            <v>State 6</v>
          </cell>
          <cell r="D648">
            <v>0</v>
          </cell>
          <cell r="E648">
            <v>0</v>
          </cell>
          <cell r="F648">
            <v>0</v>
          </cell>
          <cell r="G648">
            <v>0</v>
          </cell>
        </row>
        <row r="649">
          <cell r="A649" t="str">
            <v>Unplugged</v>
          </cell>
          <cell r="D649">
            <v>0</v>
          </cell>
          <cell r="E649">
            <v>0</v>
          </cell>
          <cell r="F649">
            <v>0</v>
          </cell>
          <cell r="G649">
            <v>0</v>
          </cell>
        </row>
        <row r="650">
          <cell r="A650">
            <v>0</v>
          </cell>
          <cell r="D650">
            <v>0</v>
          </cell>
          <cell r="E650">
            <v>0</v>
          </cell>
          <cell r="F650">
            <v>0</v>
          </cell>
          <cell r="G650">
            <v>0</v>
          </cell>
        </row>
        <row r="651">
          <cell r="A651" t="str">
            <v>VoIP Adapters?</v>
          </cell>
          <cell r="D651">
            <v>0</v>
          </cell>
          <cell r="E651">
            <v>0</v>
          </cell>
          <cell r="F651">
            <v>0</v>
          </cell>
          <cell r="G651">
            <v>0</v>
          </cell>
        </row>
        <row r="652">
          <cell r="A652" t="str">
            <v>State 1</v>
          </cell>
          <cell r="D652">
            <v>0</v>
          </cell>
          <cell r="E652">
            <v>0</v>
          </cell>
          <cell r="F652">
            <v>0</v>
          </cell>
          <cell r="G652">
            <v>0</v>
          </cell>
        </row>
        <row r="653">
          <cell r="A653" t="str">
            <v>State 2</v>
          </cell>
          <cell r="D653">
            <v>0</v>
          </cell>
          <cell r="E653">
            <v>0</v>
          </cell>
          <cell r="F653">
            <v>0</v>
          </cell>
          <cell r="G653">
            <v>0</v>
          </cell>
        </row>
        <row r="654">
          <cell r="A654" t="str">
            <v>State 3</v>
          </cell>
          <cell r="D654">
            <v>0</v>
          </cell>
          <cell r="E654">
            <v>0</v>
          </cell>
          <cell r="F654">
            <v>0</v>
          </cell>
          <cell r="G654">
            <v>0</v>
          </cell>
        </row>
        <row r="655">
          <cell r="A655" t="str">
            <v>State 4</v>
          </cell>
          <cell r="D655">
            <v>0</v>
          </cell>
          <cell r="E655">
            <v>0</v>
          </cell>
          <cell r="F655">
            <v>0</v>
          </cell>
          <cell r="G655">
            <v>0</v>
          </cell>
        </row>
        <row r="656">
          <cell r="A656" t="str">
            <v>State 5</v>
          </cell>
          <cell r="D656">
            <v>0</v>
          </cell>
          <cell r="E656">
            <v>0</v>
          </cell>
          <cell r="F656">
            <v>0</v>
          </cell>
          <cell r="G656">
            <v>0</v>
          </cell>
        </row>
        <row r="657">
          <cell r="A657" t="str">
            <v>State 6</v>
          </cell>
          <cell r="D657">
            <v>0</v>
          </cell>
          <cell r="E657">
            <v>0</v>
          </cell>
          <cell r="F657">
            <v>0</v>
          </cell>
          <cell r="G657">
            <v>0</v>
          </cell>
        </row>
        <row r="658">
          <cell r="A658" t="str">
            <v>Unplugged</v>
          </cell>
          <cell r="D658">
            <v>0</v>
          </cell>
          <cell r="E658">
            <v>0</v>
          </cell>
          <cell r="F658">
            <v>0</v>
          </cell>
          <cell r="G658">
            <v>0</v>
          </cell>
        </row>
        <row r="659">
          <cell r="A659">
            <v>0</v>
          </cell>
          <cell r="D659">
            <v>0</v>
          </cell>
          <cell r="E659">
            <v>0</v>
          </cell>
          <cell r="F659">
            <v>0</v>
          </cell>
          <cell r="G659">
            <v>0</v>
          </cell>
        </row>
        <row r="660">
          <cell r="A660" t="str">
            <v>Water purifiers and softeners</v>
          </cell>
          <cell r="D660">
            <v>0</v>
          </cell>
          <cell r="E660">
            <v>0</v>
          </cell>
          <cell r="F660">
            <v>0</v>
          </cell>
          <cell r="G660">
            <v>0</v>
          </cell>
        </row>
        <row r="661">
          <cell r="A661" t="str">
            <v>State 1</v>
          </cell>
          <cell r="D661">
            <v>0</v>
          </cell>
          <cell r="E661">
            <v>0</v>
          </cell>
          <cell r="F661">
            <v>0</v>
          </cell>
          <cell r="G661">
            <v>0</v>
          </cell>
        </row>
        <row r="662">
          <cell r="A662" t="str">
            <v>State 2</v>
          </cell>
          <cell r="D662">
            <v>0</v>
          </cell>
          <cell r="E662">
            <v>0</v>
          </cell>
          <cell r="F662">
            <v>0</v>
          </cell>
          <cell r="G662">
            <v>0</v>
          </cell>
        </row>
        <row r="663">
          <cell r="A663" t="str">
            <v>State 3</v>
          </cell>
          <cell r="D663">
            <v>0</v>
          </cell>
          <cell r="E663">
            <v>0</v>
          </cell>
          <cell r="F663">
            <v>0</v>
          </cell>
          <cell r="G663">
            <v>0</v>
          </cell>
        </row>
        <row r="664">
          <cell r="A664" t="str">
            <v>State 4</v>
          </cell>
          <cell r="D664">
            <v>0</v>
          </cell>
          <cell r="E664">
            <v>0</v>
          </cell>
          <cell r="F664">
            <v>0</v>
          </cell>
          <cell r="G664">
            <v>0</v>
          </cell>
        </row>
        <row r="665">
          <cell r="A665" t="str">
            <v>State 5</v>
          </cell>
          <cell r="D665">
            <v>0</v>
          </cell>
          <cell r="E665">
            <v>0</v>
          </cell>
          <cell r="F665">
            <v>0</v>
          </cell>
          <cell r="G665">
            <v>0</v>
          </cell>
        </row>
        <row r="666">
          <cell r="A666" t="str">
            <v>State 6</v>
          </cell>
          <cell r="D666">
            <v>0</v>
          </cell>
          <cell r="E666">
            <v>0</v>
          </cell>
          <cell r="F666">
            <v>0</v>
          </cell>
          <cell r="G666">
            <v>0</v>
          </cell>
        </row>
        <row r="667">
          <cell r="A667" t="str">
            <v>Unplugged</v>
          </cell>
          <cell r="D667">
            <v>0</v>
          </cell>
          <cell r="E667">
            <v>0</v>
          </cell>
          <cell r="F667">
            <v>0</v>
          </cell>
          <cell r="G667">
            <v>0</v>
          </cell>
        </row>
        <row r="668">
          <cell r="A668">
            <v>0</v>
          </cell>
          <cell r="D668">
            <v>0</v>
          </cell>
          <cell r="E668">
            <v>0</v>
          </cell>
          <cell r="F668">
            <v>0</v>
          </cell>
          <cell r="G668">
            <v>0</v>
          </cell>
        </row>
        <row r="669">
          <cell r="A669" t="str">
            <v>Waterbed pumps</v>
          </cell>
          <cell r="D669">
            <v>0</v>
          </cell>
          <cell r="E669">
            <v>0</v>
          </cell>
          <cell r="F669">
            <v>0</v>
          </cell>
          <cell r="G669">
            <v>0</v>
          </cell>
        </row>
        <row r="670">
          <cell r="A670" t="str">
            <v>State 1</v>
          </cell>
          <cell r="D670">
            <v>0</v>
          </cell>
          <cell r="E670">
            <v>0</v>
          </cell>
          <cell r="F670">
            <v>0</v>
          </cell>
          <cell r="G670">
            <v>0</v>
          </cell>
        </row>
        <row r="671">
          <cell r="A671" t="str">
            <v>State 2</v>
          </cell>
          <cell r="D671">
            <v>0</v>
          </cell>
          <cell r="E671">
            <v>0</v>
          </cell>
          <cell r="F671">
            <v>0</v>
          </cell>
          <cell r="G671">
            <v>0</v>
          </cell>
        </row>
        <row r="672">
          <cell r="A672" t="str">
            <v>State 3</v>
          </cell>
          <cell r="D672">
            <v>0</v>
          </cell>
          <cell r="E672">
            <v>0</v>
          </cell>
          <cell r="F672">
            <v>0</v>
          </cell>
          <cell r="G672">
            <v>0</v>
          </cell>
        </row>
        <row r="673">
          <cell r="A673" t="str">
            <v>State 4</v>
          </cell>
          <cell r="D673">
            <v>0</v>
          </cell>
          <cell r="E673">
            <v>0</v>
          </cell>
          <cell r="F673">
            <v>0</v>
          </cell>
          <cell r="G673">
            <v>0</v>
          </cell>
        </row>
        <row r="674">
          <cell r="A674" t="str">
            <v>State 5</v>
          </cell>
          <cell r="D674">
            <v>0</v>
          </cell>
          <cell r="E674">
            <v>0</v>
          </cell>
          <cell r="F674">
            <v>0</v>
          </cell>
          <cell r="G674">
            <v>0</v>
          </cell>
        </row>
        <row r="675">
          <cell r="A675" t="str">
            <v>State 6</v>
          </cell>
          <cell r="D675">
            <v>0</v>
          </cell>
          <cell r="E675">
            <v>0</v>
          </cell>
          <cell r="F675">
            <v>0</v>
          </cell>
          <cell r="G675">
            <v>0</v>
          </cell>
        </row>
        <row r="676">
          <cell r="A676" t="str">
            <v>Unplugged</v>
          </cell>
          <cell r="D676">
            <v>0</v>
          </cell>
          <cell r="E676">
            <v>0</v>
          </cell>
          <cell r="F676">
            <v>0</v>
          </cell>
          <cell r="G676">
            <v>0</v>
          </cell>
        </row>
        <row r="677">
          <cell r="A677">
            <v>0</v>
          </cell>
          <cell r="D677">
            <v>0</v>
          </cell>
          <cell r="E677">
            <v>0</v>
          </cell>
          <cell r="F677">
            <v>0</v>
          </cell>
          <cell r="G677">
            <v>0</v>
          </cell>
        </row>
        <row r="678">
          <cell r="A678" t="str">
            <v>Wi-Fi access points</v>
          </cell>
          <cell r="D678">
            <v>0</v>
          </cell>
          <cell r="E678">
            <v>0</v>
          </cell>
          <cell r="F678">
            <v>0</v>
          </cell>
          <cell r="G678">
            <v>0</v>
          </cell>
        </row>
        <row r="679">
          <cell r="A679" t="str">
            <v>State 1</v>
          </cell>
          <cell r="D679">
            <v>0</v>
          </cell>
          <cell r="E679">
            <v>0</v>
          </cell>
          <cell r="F679">
            <v>0</v>
          </cell>
          <cell r="G679">
            <v>0</v>
          </cell>
        </row>
        <row r="680">
          <cell r="A680" t="str">
            <v>State 2</v>
          </cell>
          <cell r="D680">
            <v>0</v>
          </cell>
          <cell r="E680">
            <v>0</v>
          </cell>
          <cell r="F680">
            <v>0</v>
          </cell>
          <cell r="G680">
            <v>0</v>
          </cell>
        </row>
        <row r="681">
          <cell r="A681" t="str">
            <v>State 3</v>
          </cell>
          <cell r="D681">
            <v>0</v>
          </cell>
          <cell r="E681">
            <v>0</v>
          </cell>
          <cell r="F681">
            <v>0</v>
          </cell>
          <cell r="G681">
            <v>0</v>
          </cell>
        </row>
        <row r="682">
          <cell r="A682" t="str">
            <v>State 4</v>
          </cell>
          <cell r="D682">
            <v>0</v>
          </cell>
          <cell r="E682">
            <v>0</v>
          </cell>
          <cell r="F682">
            <v>0</v>
          </cell>
          <cell r="G682">
            <v>0</v>
          </cell>
        </row>
        <row r="683">
          <cell r="A683" t="str">
            <v>State 5</v>
          </cell>
          <cell r="D683">
            <v>0</v>
          </cell>
          <cell r="E683">
            <v>0</v>
          </cell>
          <cell r="F683">
            <v>0</v>
          </cell>
          <cell r="G683">
            <v>0</v>
          </cell>
        </row>
        <row r="684">
          <cell r="A684" t="str">
            <v>State 6</v>
          </cell>
          <cell r="D684">
            <v>0</v>
          </cell>
          <cell r="E684">
            <v>0</v>
          </cell>
          <cell r="F684">
            <v>0</v>
          </cell>
          <cell r="G684">
            <v>0</v>
          </cell>
        </row>
        <row r="685">
          <cell r="A685" t="str">
            <v>Unplugged</v>
          </cell>
          <cell r="D685">
            <v>0</v>
          </cell>
          <cell r="E685">
            <v>0</v>
          </cell>
          <cell r="F685">
            <v>0</v>
          </cell>
          <cell r="G685">
            <v>0</v>
          </cell>
        </row>
        <row r="686">
          <cell r="A686">
            <v>0</v>
          </cell>
          <cell r="D686">
            <v>0</v>
          </cell>
          <cell r="E686">
            <v>0</v>
          </cell>
          <cell r="F686">
            <v>0</v>
          </cell>
          <cell r="G686">
            <v>0</v>
          </cell>
        </row>
        <row r="687">
          <cell r="A687" t="str">
            <v>Wireless speakers</v>
          </cell>
          <cell r="D687">
            <v>0</v>
          </cell>
          <cell r="E687">
            <v>0</v>
          </cell>
          <cell r="F687">
            <v>0</v>
          </cell>
          <cell r="G687">
            <v>0</v>
          </cell>
        </row>
        <row r="688">
          <cell r="A688" t="str">
            <v>State 1</v>
          </cell>
          <cell r="D688">
            <v>1</v>
          </cell>
          <cell r="E688">
            <v>0</v>
          </cell>
          <cell r="F688">
            <v>0</v>
          </cell>
          <cell r="G688">
            <v>0</v>
          </cell>
        </row>
        <row r="689">
          <cell r="A689" t="str">
            <v>State 2</v>
          </cell>
          <cell r="D689">
            <v>0</v>
          </cell>
          <cell r="E689">
            <v>0</v>
          </cell>
          <cell r="F689">
            <v>0</v>
          </cell>
          <cell r="G689">
            <v>0</v>
          </cell>
        </row>
        <row r="690">
          <cell r="A690" t="str">
            <v>State 3</v>
          </cell>
          <cell r="D690">
            <v>1</v>
          </cell>
          <cell r="E690">
            <v>0</v>
          </cell>
          <cell r="F690">
            <v>0</v>
          </cell>
          <cell r="G690">
            <v>0</v>
          </cell>
        </row>
        <row r="691">
          <cell r="A691" t="str">
            <v>State 4</v>
          </cell>
          <cell r="D691">
            <v>0</v>
          </cell>
          <cell r="E691">
            <v>0</v>
          </cell>
          <cell r="F691">
            <v>0</v>
          </cell>
          <cell r="G691">
            <v>0</v>
          </cell>
        </row>
        <row r="692">
          <cell r="A692" t="str">
            <v>State 5</v>
          </cell>
          <cell r="D692">
            <v>0</v>
          </cell>
          <cell r="E692">
            <v>0</v>
          </cell>
          <cell r="F692">
            <v>0</v>
          </cell>
          <cell r="G692">
            <v>0</v>
          </cell>
        </row>
        <row r="693">
          <cell r="A693" t="str">
            <v>State 6</v>
          </cell>
          <cell r="D693">
            <v>0</v>
          </cell>
          <cell r="E693">
            <v>0</v>
          </cell>
          <cell r="F693">
            <v>0</v>
          </cell>
          <cell r="G693">
            <v>0</v>
          </cell>
        </row>
        <row r="694">
          <cell r="A694" t="str">
            <v>Unplugged</v>
          </cell>
          <cell r="D694">
            <v>0</v>
          </cell>
          <cell r="E694">
            <v>0</v>
          </cell>
          <cell r="F694">
            <v>0</v>
          </cell>
          <cell r="G694">
            <v>1</v>
          </cell>
        </row>
        <row r="695">
          <cell r="A695">
            <v>0</v>
          </cell>
          <cell r="D695">
            <v>0</v>
          </cell>
          <cell r="E695">
            <v>0</v>
          </cell>
          <cell r="F695">
            <v>0</v>
          </cell>
          <cell r="G695">
            <v>0</v>
          </cell>
        </row>
        <row r="696">
          <cell r="A696" t="str">
            <v>GenericA: Continuous Use Appliance1</v>
          </cell>
          <cell r="D696">
            <v>0</v>
          </cell>
          <cell r="E696">
            <v>0</v>
          </cell>
          <cell r="F696">
            <v>0</v>
          </cell>
          <cell r="G696">
            <v>0</v>
          </cell>
        </row>
        <row r="697">
          <cell r="A697" t="str">
            <v>State 1</v>
          </cell>
          <cell r="D697">
            <v>0</v>
          </cell>
          <cell r="E697">
            <v>0</v>
          </cell>
          <cell r="F697">
            <v>0</v>
          </cell>
          <cell r="G697">
            <v>0</v>
          </cell>
        </row>
        <row r="698">
          <cell r="A698" t="str">
            <v>State 2</v>
          </cell>
          <cell r="D698">
            <v>0</v>
          </cell>
          <cell r="E698">
            <v>0</v>
          </cell>
          <cell r="F698">
            <v>0</v>
          </cell>
          <cell r="G698">
            <v>0</v>
          </cell>
        </row>
        <row r="699">
          <cell r="A699" t="str">
            <v>State 3</v>
          </cell>
          <cell r="D699">
            <v>0</v>
          </cell>
          <cell r="E699">
            <v>0</v>
          </cell>
          <cell r="F699">
            <v>0</v>
          </cell>
          <cell r="G699">
            <v>0</v>
          </cell>
        </row>
        <row r="700">
          <cell r="A700" t="str">
            <v>State 4</v>
          </cell>
          <cell r="D700">
            <v>0</v>
          </cell>
          <cell r="E700">
            <v>0</v>
          </cell>
          <cell r="F700">
            <v>0</v>
          </cell>
          <cell r="G700">
            <v>0</v>
          </cell>
        </row>
        <row r="701">
          <cell r="A701" t="str">
            <v>State 5</v>
          </cell>
          <cell r="D701">
            <v>0</v>
          </cell>
          <cell r="E701">
            <v>0</v>
          </cell>
          <cell r="F701">
            <v>0</v>
          </cell>
          <cell r="G701">
            <v>0</v>
          </cell>
        </row>
        <row r="702">
          <cell r="A702" t="str">
            <v>State 6</v>
          </cell>
          <cell r="D702">
            <v>0</v>
          </cell>
          <cell r="E702">
            <v>0</v>
          </cell>
          <cell r="F702">
            <v>0</v>
          </cell>
          <cell r="G702">
            <v>0</v>
          </cell>
        </row>
        <row r="703">
          <cell r="A703" t="str">
            <v>Unplugged</v>
          </cell>
          <cell r="D703">
            <v>0</v>
          </cell>
          <cell r="E703">
            <v>0</v>
          </cell>
          <cell r="F703">
            <v>0</v>
          </cell>
          <cell r="G703">
            <v>0</v>
          </cell>
        </row>
        <row r="704">
          <cell r="A704">
            <v>0</v>
          </cell>
          <cell r="D704">
            <v>0</v>
          </cell>
          <cell r="E704">
            <v>0</v>
          </cell>
          <cell r="F704">
            <v>0</v>
          </cell>
          <cell r="G704">
            <v>0</v>
          </cell>
        </row>
        <row r="705">
          <cell r="A705" t="str">
            <v>GenericB: Continuous Use Appliance2</v>
          </cell>
          <cell r="D705">
            <v>0</v>
          </cell>
          <cell r="E705">
            <v>0</v>
          </cell>
          <cell r="F705">
            <v>0</v>
          </cell>
          <cell r="G705">
            <v>0</v>
          </cell>
        </row>
        <row r="706">
          <cell r="A706" t="str">
            <v>State 1</v>
          </cell>
          <cell r="D706">
            <v>0</v>
          </cell>
          <cell r="E706">
            <v>0</v>
          </cell>
          <cell r="F706">
            <v>0</v>
          </cell>
          <cell r="G706">
            <v>0</v>
          </cell>
        </row>
        <row r="707">
          <cell r="A707" t="str">
            <v>State 2</v>
          </cell>
          <cell r="D707">
            <v>0</v>
          </cell>
          <cell r="E707">
            <v>0</v>
          </cell>
          <cell r="F707">
            <v>0</v>
          </cell>
          <cell r="G707">
            <v>0</v>
          </cell>
        </row>
        <row r="708">
          <cell r="A708" t="str">
            <v>State 3</v>
          </cell>
          <cell r="D708">
            <v>0</v>
          </cell>
          <cell r="E708">
            <v>0</v>
          </cell>
          <cell r="F708">
            <v>0</v>
          </cell>
          <cell r="G708">
            <v>0</v>
          </cell>
        </row>
        <row r="709">
          <cell r="A709" t="str">
            <v>State 4</v>
          </cell>
          <cell r="D709">
            <v>0</v>
          </cell>
          <cell r="E709">
            <v>0</v>
          </cell>
          <cell r="F709">
            <v>0</v>
          </cell>
          <cell r="G709">
            <v>0</v>
          </cell>
        </row>
        <row r="710">
          <cell r="A710" t="str">
            <v>State 5</v>
          </cell>
          <cell r="D710">
            <v>0</v>
          </cell>
          <cell r="E710">
            <v>0</v>
          </cell>
          <cell r="F710">
            <v>0</v>
          </cell>
          <cell r="G710">
            <v>0</v>
          </cell>
        </row>
        <row r="711">
          <cell r="A711" t="str">
            <v>State 6</v>
          </cell>
          <cell r="D711">
            <v>0</v>
          </cell>
          <cell r="E711">
            <v>0</v>
          </cell>
          <cell r="F711">
            <v>0</v>
          </cell>
          <cell r="G711">
            <v>0</v>
          </cell>
        </row>
        <row r="712">
          <cell r="A712" t="str">
            <v>Unplugged</v>
          </cell>
          <cell r="D712">
            <v>0</v>
          </cell>
          <cell r="E712">
            <v>0</v>
          </cell>
          <cell r="F712">
            <v>0</v>
          </cell>
          <cell r="G712">
            <v>0</v>
          </cell>
        </row>
        <row r="713">
          <cell r="A713">
            <v>0</v>
          </cell>
          <cell r="D713">
            <v>0</v>
          </cell>
          <cell r="E713">
            <v>0</v>
          </cell>
          <cell r="F713">
            <v>0</v>
          </cell>
          <cell r="G713">
            <v>0</v>
          </cell>
        </row>
        <row r="714">
          <cell r="A714" t="str">
            <v>GenericC: Infrequent Use Appliance 1</v>
          </cell>
          <cell r="D714">
            <v>0</v>
          </cell>
          <cell r="E714">
            <v>0</v>
          </cell>
          <cell r="F714">
            <v>0</v>
          </cell>
          <cell r="G714">
            <v>0</v>
          </cell>
        </row>
        <row r="715">
          <cell r="A715" t="str">
            <v>State 1</v>
          </cell>
          <cell r="D715">
            <v>0</v>
          </cell>
          <cell r="E715">
            <v>0</v>
          </cell>
          <cell r="F715">
            <v>0</v>
          </cell>
          <cell r="G715">
            <v>0</v>
          </cell>
        </row>
        <row r="716">
          <cell r="A716" t="str">
            <v>State 2</v>
          </cell>
          <cell r="D716">
            <v>0</v>
          </cell>
          <cell r="E716">
            <v>0</v>
          </cell>
          <cell r="F716">
            <v>0</v>
          </cell>
          <cell r="G716">
            <v>0</v>
          </cell>
        </row>
        <row r="717">
          <cell r="A717" t="str">
            <v>State 3</v>
          </cell>
          <cell r="D717">
            <v>0</v>
          </cell>
          <cell r="E717">
            <v>0</v>
          </cell>
          <cell r="F717">
            <v>0</v>
          </cell>
          <cell r="G717">
            <v>0</v>
          </cell>
        </row>
        <row r="718">
          <cell r="A718" t="str">
            <v>State 4</v>
          </cell>
          <cell r="D718">
            <v>0</v>
          </cell>
          <cell r="E718">
            <v>0</v>
          </cell>
          <cell r="F718">
            <v>0</v>
          </cell>
          <cell r="G718">
            <v>0</v>
          </cell>
        </row>
        <row r="719">
          <cell r="A719" t="str">
            <v>State 5</v>
          </cell>
          <cell r="D719">
            <v>0</v>
          </cell>
          <cell r="E719">
            <v>0</v>
          </cell>
          <cell r="F719">
            <v>0</v>
          </cell>
          <cell r="G719">
            <v>0</v>
          </cell>
        </row>
        <row r="720">
          <cell r="A720" t="str">
            <v>State 6</v>
          </cell>
          <cell r="D720">
            <v>0</v>
          </cell>
          <cell r="E720">
            <v>0</v>
          </cell>
          <cell r="F720">
            <v>0</v>
          </cell>
          <cell r="G720">
            <v>0</v>
          </cell>
        </row>
        <row r="721">
          <cell r="A721" t="str">
            <v>Unplugged</v>
          </cell>
          <cell r="D721">
            <v>0</v>
          </cell>
          <cell r="E721">
            <v>0</v>
          </cell>
          <cell r="F721">
            <v>0</v>
          </cell>
          <cell r="G721">
            <v>0</v>
          </cell>
        </row>
        <row r="722">
          <cell r="A722">
            <v>0</v>
          </cell>
          <cell r="D722">
            <v>0</v>
          </cell>
          <cell r="E722">
            <v>0</v>
          </cell>
          <cell r="F722">
            <v>0</v>
          </cell>
          <cell r="G722">
            <v>0</v>
          </cell>
        </row>
        <row r="723">
          <cell r="A723" t="str">
            <v>DOD Method</v>
          </cell>
          <cell r="D723">
            <v>0</v>
          </cell>
          <cell r="E723">
            <v>0</v>
          </cell>
          <cell r="F723">
            <v>0</v>
          </cell>
          <cell r="G723">
            <v>0</v>
          </cell>
        </row>
        <row r="724">
          <cell r="A724" t="str">
            <v>State 1</v>
          </cell>
          <cell r="D724">
            <v>0</v>
          </cell>
          <cell r="E724">
            <v>0</v>
          </cell>
          <cell r="F724">
            <v>0</v>
          </cell>
          <cell r="G724">
            <v>0</v>
          </cell>
        </row>
        <row r="725">
          <cell r="A725" t="str">
            <v>State 2</v>
          </cell>
          <cell r="D725">
            <v>0</v>
          </cell>
          <cell r="E725">
            <v>0</v>
          </cell>
          <cell r="F725">
            <v>0</v>
          </cell>
          <cell r="G725">
            <v>0</v>
          </cell>
        </row>
        <row r="726">
          <cell r="A726" t="str">
            <v>State 3</v>
          </cell>
          <cell r="D726">
            <v>0</v>
          </cell>
          <cell r="E726">
            <v>0</v>
          </cell>
          <cell r="F726">
            <v>0</v>
          </cell>
          <cell r="G726">
            <v>0</v>
          </cell>
        </row>
        <row r="727">
          <cell r="A727" t="str">
            <v>State 4</v>
          </cell>
          <cell r="D727">
            <v>0</v>
          </cell>
          <cell r="E727">
            <v>0</v>
          </cell>
          <cell r="F727">
            <v>0</v>
          </cell>
          <cell r="G727">
            <v>0</v>
          </cell>
        </row>
        <row r="728">
          <cell r="A728" t="str">
            <v>State 5</v>
          </cell>
          <cell r="D728">
            <v>0</v>
          </cell>
          <cell r="E728">
            <v>0</v>
          </cell>
          <cell r="F728">
            <v>0</v>
          </cell>
          <cell r="G728">
            <v>0</v>
          </cell>
        </row>
        <row r="729">
          <cell r="A729" t="str">
            <v>State 6</v>
          </cell>
          <cell r="D729">
            <v>0</v>
          </cell>
          <cell r="E729">
            <v>0</v>
          </cell>
          <cell r="F729">
            <v>0</v>
          </cell>
          <cell r="G729">
            <v>0</v>
          </cell>
        </row>
        <row r="730">
          <cell r="A730" t="str">
            <v>Unplugged</v>
          </cell>
          <cell r="D730">
            <v>0</v>
          </cell>
          <cell r="E730">
            <v>0</v>
          </cell>
          <cell r="F730">
            <v>0</v>
          </cell>
          <cell r="G730">
            <v>0</v>
          </cell>
        </row>
        <row r="731">
          <cell r="A731">
            <v>0</v>
          </cell>
          <cell r="D731">
            <v>0</v>
          </cell>
          <cell r="E731">
            <v>0</v>
          </cell>
          <cell r="F731">
            <v>0</v>
          </cell>
          <cell r="G731">
            <v>0</v>
          </cell>
        </row>
        <row r="732">
          <cell r="A732" t="str">
            <v>GenericD: Infrequent Use Appliance2</v>
          </cell>
          <cell r="D732">
            <v>0</v>
          </cell>
          <cell r="E732">
            <v>0</v>
          </cell>
          <cell r="F732">
            <v>0</v>
          </cell>
          <cell r="G732">
            <v>0</v>
          </cell>
        </row>
        <row r="733">
          <cell r="A733" t="str">
            <v>State 1</v>
          </cell>
          <cell r="D733">
            <v>0</v>
          </cell>
          <cell r="E733">
            <v>0</v>
          </cell>
          <cell r="F733">
            <v>0</v>
          </cell>
          <cell r="G733">
            <v>0</v>
          </cell>
        </row>
        <row r="734">
          <cell r="A734" t="str">
            <v>State 2</v>
          </cell>
          <cell r="D734">
            <v>0</v>
          </cell>
          <cell r="E734">
            <v>0</v>
          </cell>
          <cell r="F734">
            <v>0</v>
          </cell>
          <cell r="G734">
            <v>0</v>
          </cell>
        </row>
        <row r="735">
          <cell r="A735" t="str">
            <v>State 3</v>
          </cell>
          <cell r="D735">
            <v>0</v>
          </cell>
          <cell r="E735">
            <v>0</v>
          </cell>
          <cell r="F735">
            <v>0</v>
          </cell>
          <cell r="G735">
            <v>0</v>
          </cell>
        </row>
        <row r="736">
          <cell r="A736" t="str">
            <v>State 4</v>
          </cell>
          <cell r="D736">
            <v>0</v>
          </cell>
          <cell r="E736">
            <v>0</v>
          </cell>
          <cell r="F736">
            <v>0</v>
          </cell>
          <cell r="G736">
            <v>0</v>
          </cell>
        </row>
        <row r="737">
          <cell r="A737" t="str">
            <v>State 5</v>
          </cell>
          <cell r="D737">
            <v>0</v>
          </cell>
          <cell r="E737">
            <v>0</v>
          </cell>
          <cell r="F737">
            <v>0</v>
          </cell>
          <cell r="G737">
            <v>0</v>
          </cell>
        </row>
        <row r="738">
          <cell r="A738" t="str">
            <v>State 6</v>
          </cell>
          <cell r="D738">
            <v>0</v>
          </cell>
          <cell r="E738">
            <v>0</v>
          </cell>
          <cell r="F738">
            <v>0</v>
          </cell>
          <cell r="G738">
            <v>0</v>
          </cell>
        </row>
        <row r="739">
          <cell r="A739" t="str">
            <v>Unplugged</v>
          </cell>
          <cell r="D739">
            <v>0</v>
          </cell>
          <cell r="E739">
            <v>0</v>
          </cell>
          <cell r="F739">
            <v>0</v>
          </cell>
          <cell r="G739">
            <v>0</v>
          </cell>
        </row>
      </sheetData>
      <sheetData sheetId="6"/>
      <sheetData sheetId="7"/>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ests"/>
      <sheetName val="CSLs"/>
      <sheetName val="Plot"/>
      <sheetName val="LowE_HighV"/>
      <sheetName val="MedE_LowV"/>
      <sheetName val="Usage Profiles"/>
      <sheetName val="Ecos By Voltage"/>
      <sheetName val="Ecos Voltage"/>
    </sheetNames>
    <sheetDataSet>
      <sheetData sheetId="0">
        <row r="3">
          <cell r="B3" t="str">
            <v>Test Summary</v>
          </cell>
          <cell r="C3" t="str">
            <v>Rated Battery Voltage Summary</v>
          </cell>
          <cell r="D3" t="str">
            <v>Measured Battery Energy Summary</v>
          </cell>
          <cell r="E3" t="str">
            <v>24-Hour Efficiency Summary</v>
          </cell>
          <cell r="F3" t="str">
            <v>2. BC Test Finished</v>
          </cell>
          <cell r="G3" t="str">
            <v>2. BC Test Requested</v>
          </cell>
          <cell r="H3" t="str">
            <v>Batch Name</v>
          </cell>
          <cell r="I3" t="str">
            <v>Application Type</v>
          </cell>
          <cell r="J3" t="str">
            <v>Application or Charger Unit Number</v>
          </cell>
          <cell r="K3" t="str">
            <v>Application or Charger Manufacturer</v>
          </cell>
          <cell r="L3" t="str">
            <v>Application or Charger Model</v>
          </cell>
          <cell r="M3" t="str">
            <v>Battery Number</v>
          </cell>
          <cell r="N3" t="str">
            <v>Battery Manufacturer</v>
          </cell>
          <cell r="O3" t="str">
            <v>Battery Model</v>
          </cell>
          <cell r="P3" t="str">
            <v>Advertized Battery Format</v>
          </cell>
          <cell r="Q3" t="str">
            <v>Advertised Battery Chemistry</v>
          </cell>
          <cell r="R3" t="str">
            <v>Advertized Number of Cells</v>
          </cell>
          <cell r="S3" t="str">
            <v>Advertized Battery Voltage [V]</v>
          </cell>
          <cell r="T3" t="str">
            <v>Advertized Battery Capacity [Ah]</v>
          </cell>
          <cell r="U3" t="str">
            <v>Advertized Battery Energy  [Wh]</v>
          </cell>
          <cell r="V3" t="str">
            <v>Year of Manufacture</v>
          </cell>
          <cell r="W3" t="str">
            <v>Nameplate Input Voltage [V]</v>
          </cell>
          <cell r="X3" t="str">
            <v>Nameplate Input Frequency [Hz]</v>
          </cell>
          <cell r="Y3" t="str">
            <v>Nameplate Input Current [A]</v>
          </cell>
          <cell r="Z3" t="str">
            <v>Nameplate Output Voltage Max [V]</v>
          </cell>
          <cell r="AA3" t="str">
            <v>Nameplate Output Voltage Min [V]</v>
          </cell>
          <cell r="AB3" t="str">
            <v>Nameplate Output Frequency [Hz]</v>
          </cell>
          <cell r="AC3" t="str">
            <v>Nameplate Output Current Max [A]</v>
          </cell>
          <cell r="AD3" t="str">
            <v>Nameplate Output Power [W]</v>
          </cell>
          <cell r="AE3" t="str">
            <v>Battery Chemistry</v>
          </cell>
          <cell r="AF3" t="str">
            <v>Rated Battery Voltage [V]</v>
          </cell>
          <cell r="AG3" t="str">
            <v>Rated Battery Capacity [Ah]</v>
          </cell>
          <cell r="AH3" t="str">
            <v>Rated Battery Energy [Wh]</v>
          </cell>
          <cell r="AI3" t="str">
            <v>Is Charger Multivoltage?</v>
          </cell>
          <cell r="AJ3" t="str">
            <v>Number of Ports</v>
          </cell>
          <cell r="AK3" t="str">
            <v>Number of Batteries per Port</v>
          </cell>
          <cell r="AL3" t="str">
            <v>Test Input Voltage [V]</v>
          </cell>
          <cell r="AM3" t="str">
            <v>Test Input Frequency [Hz]</v>
          </cell>
          <cell r="AN3" t="str">
            <v>Number of Ports Used</v>
          </cell>
          <cell r="AO3" t="str">
            <v>Number of Batteries per Port Used</v>
          </cell>
          <cell r="AP3" t="str">
            <v>Conditioning Charge 1 Finish Date</v>
          </cell>
          <cell r="AQ3" t="str">
            <v>Conditioning Charge 2 Finish Date</v>
          </cell>
          <cell r="AR3" t="str">
            <v>Preparatory Charge Finish Date</v>
          </cell>
          <cell r="AS3" t="str">
            <v>Discharge Test Finish Date</v>
          </cell>
          <cell r="AT3" t="str">
            <v>Start Voltage  [V]</v>
          </cell>
          <cell r="AU3" t="str">
            <v>End-of-Discharge Voltage [V]</v>
          </cell>
          <cell r="AV3" t="str">
            <v>Measured 0.2C Discharge Current [A]</v>
          </cell>
          <cell r="AW3" t="str">
            <v>Discharge Test Duration [h]</v>
          </cell>
          <cell r="AX3" t="str">
            <v>Measured Capacity [Ah]</v>
          </cell>
          <cell r="AY3" t="str">
            <v>Measured Battery Energy [Wh]</v>
          </cell>
          <cell r="AZ3" t="str">
            <v>24-Hour Efficiency</v>
          </cell>
          <cell r="BA3" t="str">
            <v>Charge Test Finish Date</v>
          </cell>
          <cell r="BB3" t="str">
            <v>Initial Input Power [W]</v>
          </cell>
          <cell r="BC3" t="str">
            <v>Initial Power Factor</v>
          </cell>
          <cell r="BD3" t="str">
            <v>Initial Current Crest Factor</v>
          </cell>
          <cell r="BE3" t="str">
            <v>Final Input Power [W]</v>
          </cell>
          <cell r="BF3" t="str">
            <v>Final Power Factor</v>
          </cell>
          <cell r="BG3" t="str">
            <v>Final Current Crest Factor</v>
          </cell>
          <cell r="BH3" t="str">
            <v>Charge Test Duration [h]</v>
          </cell>
          <cell r="BI3" t="str">
            <v>Maintenance Mode Power [W]</v>
          </cell>
          <cell r="BJ3" t="str">
            <v>Estimated Active Mode Time [h]</v>
          </cell>
          <cell r="BK3" t="str">
            <v>Estimated Active Mode Energy [Wh]</v>
          </cell>
          <cell r="BL3" t="str">
            <v>24-Hour Charge Energy [Wh]</v>
          </cell>
          <cell r="BM3" t="str">
            <v>Charge Test Additional Functionality</v>
          </cell>
          <cell r="BN3" t="str">
            <v>Initial Ambient Temperature [deg C]</v>
          </cell>
          <cell r="BO3" t="str">
            <v>Final Ambient Temperature [deg C]</v>
          </cell>
          <cell r="BP3" t="str">
            <v>No-Battery Test Finish Date</v>
          </cell>
          <cell r="BQ3" t="str">
            <v>No-Battery Test What's Connected?</v>
          </cell>
          <cell r="BR3" t="str">
            <v>No-Battery Test Duration [h]</v>
          </cell>
          <cell r="BS3" t="str">
            <v>No-Battery Test Energy [Wh]</v>
          </cell>
          <cell r="BT3" t="str">
            <v>No-Battery Test Avg. Power [W]</v>
          </cell>
          <cell r="BU3" t="str">
            <v>No-Battery Test Avg. Power Factor</v>
          </cell>
          <cell r="BV3" t="str">
            <v>No-Battery Test Avg. Current Crest Factor</v>
          </cell>
          <cell r="BW3" t="str">
            <v>Manual On/Off Switch Present?</v>
          </cell>
          <cell r="BX3" t="str">
            <v>Off-Mode Test Finish Date</v>
          </cell>
          <cell r="BY3" t="str">
            <v>Off-Mode Test What's Connected?</v>
          </cell>
          <cell r="BZ3" t="str">
            <v>Off-Mode Test Duration [h]</v>
          </cell>
          <cell r="CA3" t="str">
            <v>Off-Mode Test Energy [Wh]</v>
          </cell>
          <cell r="CB3" t="str">
            <v>Off-Mode Test Avg. Power [W]</v>
          </cell>
          <cell r="CC3" t="str">
            <v>Off-Mode Test Avg. Power Factor</v>
          </cell>
          <cell r="CD3" t="str">
            <v>Off-Mode Test Avg. Current Crest Factor</v>
          </cell>
          <cell r="CE3" t="str">
            <v>Testing Notes</v>
          </cell>
          <cell r="CF3" t="str">
            <v>Testing &amp; Teardown Priority</v>
          </cell>
          <cell r="CG3" t="str">
            <v>SME Inspection Date</v>
          </cell>
          <cell r="CH3" t="str">
            <v>SME Performing Inspection</v>
          </cell>
          <cell r="CI3" t="str">
            <v>Technology Options</v>
          </cell>
          <cell r="CJ3" t="str">
            <v>Date Costed by NCI</v>
          </cell>
          <cell r="CK3" t="str">
            <v>NCI ERMC</v>
          </cell>
          <cell r="CL3" t="str">
            <v>Volume of NCI ERMC</v>
          </cell>
          <cell r="CM3" t="str">
            <v>Date Received by iSuppli</v>
          </cell>
          <cell r="CN3" t="str">
            <v>Date Costed by iSuppli</v>
          </cell>
          <cell r="CO3" t="str">
            <v>iSuppli ERMC</v>
          </cell>
          <cell r="CP3" t="str">
            <v>Volume of iSuppli ERMC</v>
          </cell>
          <cell r="CQ3" t="str">
            <v>END</v>
          </cell>
          <cell r="CR3" t="str">
            <v>Product Class</v>
          </cell>
          <cell r="CS3" t="str">
            <v>Avg. Time Spent in Active Mode [h/wk]</v>
          </cell>
          <cell r="CT3" t="str">
            <v>Avg. Time Spent in Matint. Mode [h/wk]</v>
          </cell>
          <cell r="CU3" t="str">
            <v>Avg. Time Spent in No-Batt. Mode [h/wk]</v>
          </cell>
          <cell r="CV3" t="str">
            <v>Avg. Time Spent in Off Mode [h/wk]</v>
          </cell>
          <cell r="CW3" t="str">
            <v>Avg. Time Spent in Unplugged Mode [h/wk]</v>
          </cell>
          <cell r="CX3" t="str">
            <v>Total</v>
          </cell>
          <cell r="CY3" t="str">
            <v>Estimated Active-Only Efficiency</v>
          </cell>
          <cell r="CZ3" t="str">
            <v>Annual Energy Consumption [kWh]</v>
          </cell>
        </row>
        <row r="4">
          <cell r="A4" t="str">
            <v>616.2.1</v>
          </cell>
        </row>
        <row r="5">
          <cell r="A5" t="str">
            <v>617.2.1</v>
          </cell>
        </row>
        <row r="6">
          <cell r="A6" t="str">
            <v>629.2.1</v>
          </cell>
        </row>
        <row r="7">
          <cell r="A7" t="str">
            <v>630.2.1</v>
          </cell>
        </row>
        <row r="8">
          <cell r="A8" t="str">
            <v>631.2.1</v>
          </cell>
        </row>
        <row r="9">
          <cell r="A9" t="str">
            <v>632.2.1</v>
          </cell>
        </row>
        <row r="10">
          <cell r="A10" t="str">
            <v>653.2.1</v>
          </cell>
        </row>
        <row r="11">
          <cell r="A11" t="str">
            <v>654.2.1</v>
          </cell>
        </row>
        <row r="12">
          <cell r="A12" t="str">
            <v>662.2.1</v>
          </cell>
        </row>
        <row r="13">
          <cell r="A13" t="str">
            <v>662.2.2</v>
          </cell>
        </row>
        <row r="14">
          <cell r="A14" t="str">
            <v>664.2.1</v>
          </cell>
        </row>
        <row r="15">
          <cell r="A15" t="str">
            <v>664.2.2</v>
          </cell>
        </row>
        <row r="16">
          <cell r="A16" t="str">
            <v>670.2.1</v>
          </cell>
        </row>
        <row r="17">
          <cell r="A17" t="str">
            <v>671.2.1</v>
          </cell>
        </row>
        <row r="18">
          <cell r="A18" t="str">
            <v>673.2.1</v>
          </cell>
        </row>
        <row r="19">
          <cell r="A19" t="str">
            <v>674.2.1</v>
          </cell>
        </row>
        <row r="20">
          <cell r="A20" t="str">
            <v>676.2.1</v>
          </cell>
        </row>
        <row r="21">
          <cell r="A21" t="str">
            <v>677.2.1</v>
          </cell>
        </row>
        <row r="22">
          <cell r="A22" t="str">
            <v>686.2.1</v>
          </cell>
        </row>
        <row r="23">
          <cell r="A23" t="str">
            <v>687.2.1</v>
          </cell>
        </row>
        <row r="24">
          <cell r="A24" t="str">
            <v>688.2.1</v>
          </cell>
        </row>
        <row r="25">
          <cell r="A25" t="str">
            <v>689.2.1</v>
          </cell>
        </row>
        <row r="26">
          <cell r="A26" t="str">
            <v>690.2.1</v>
          </cell>
        </row>
        <row r="27">
          <cell r="A27" t="str">
            <v>691.2.1</v>
          </cell>
        </row>
        <row r="28">
          <cell r="A28" t="str">
            <v>693.2.1</v>
          </cell>
        </row>
        <row r="29">
          <cell r="A29" t="str">
            <v>693.2.2</v>
          </cell>
        </row>
        <row r="30">
          <cell r="A30" t="str">
            <v>694.2.1</v>
          </cell>
        </row>
        <row r="31">
          <cell r="A31" t="str">
            <v>695.2.1</v>
          </cell>
        </row>
        <row r="32">
          <cell r="A32" t="str">
            <v>696.2.1</v>
          </cell>
        </row>
        <row r="33">
          <cell r="A33" t="str">
            <v>697.2.1</v>
          </cell>
        </row>
        <row r="34">
          <cell r="A34" t="str">
            <v>698.2.1</v>
          </cell>
        </row>
        <row r="35">
          <cell r="A35" t="str">
            <v>700.2.1</v>
          </cell>
        </row>
        <row r="36">
          <cell r="A36" t="str">
            <v>703.2.1</v>
          </cell>
        </row>
        <row r="37">
          <cell r="A37" t="str">
            <v>704.2.1</v>
          </cell>
        </row>
        <row r="38">
          <cell r="A38" t="str">
            <v>706.2.1</v>
          </cell>
        </row>
        <row r="39">
          <cell r="A39" t="str">
            <v>707.2.1</v>
          </cell>
        </row>
        <row r="40">
          <cell r="A40" t="str">
            <v>711.2.1</v>
          </cell>
        </row>
        <row r="41">
          <cell r="A41" t="str">
            <v>712.2.1</v>
          </cell>
        </row>
        <row r="42">
          <cell r="A42" t="str">
            <v>713.2.1</v>
          </cell>
        </row>
        <row r="43">
          <cell r="A43" t="str">
            <v>714.2.1</v>
          </cell>
        </row>
        <row r="44">
          <cell r="A44" t="str">
            <v>715.2.1</v>
          </cell>
        </row>
        <row r="45">
          <cell r="A45" t="str">
            <v>716.2.1</v>
          </cell>
        </row>
        <row r="46">
          <cell r="A46" t="str">
            <v>717.2.1</v>
          </cell>
        </row>
        <row r="47">
          <cell r="A47" t="str">
            <v>718.2.1</v>
          </cell>
        </row>
        <row r="48">
          <cell r="A48" t="str">
            <v>719.2.1</v>
          </cell>
        </row>
        <row r="49">
          <cell r="A49" t="str">
            <v>720.2.1</v>
          </cell>
        </row>
        <row r="50">
          <cell r="A50" t="str">
            <v>721.2.1</v>
          </cell>
        </row>
        <row r="51">
          <cell r="A51" t="str">
            <v>722.2.1</v>
          </cell>
        </row>
        <row r="52">
          <cell r="A52" t="str">
            <v>723.2.1</v>
          </cell>
        </row>
        <row r="53">
          <cell r="A53" t="str">
            <v>724.2.1</v>
          </cell>
        </row>
        <row r="54">
          <cell r="A54" t="str">
            <v>725.2.1</v>
          </cell>
        </row>
        <row r="55">
          <cell r="A55" t="str">
            <v>726.2.1</v>
          </cell>
        </row>
        <row r="56">
          <cell r="A56" t="str">
            <v>727.2.1</v>
          </cell>
        </row>
        <row r="57">
          <cell r="A57" t="str">
            <v>728.2.1</v>
          </cell>
        </row>
        <row r="58">
          <cell r="A58" t="str">
            <v>729.2.1</v>
          </cell>
        </row>
        <row r="59">
          <cell r="A59" t="str">
            <v>730.2.1</v>
          </cell>
        </row>
        <row r="60">
          <cell r="A60" t="str">
            <v>731.2.1</v>
          </cell>
        </row>
        <row r="61">
          <cell r="A61" t="str">
            <v>732.2.1</v>
          </cell>
        </row>
        <row r="62">
          <cell r="A62" t="str">
            <v>733.2.1</v>
          </cell>
        </row>
        <row r="63">
          <cell r="A63" t="str">
            <v>734.2.1</v>
          </cell>
        </row>
        <row r="64">
          <cell r="A64" t="str">
            <v>#</v>
          </cell>
        </row>
        <row r="65">
          <cell r="A65">
            <v>3</v>
          </cell>
        </row>
        <row r="66">
          <cell r="A66">
            <v>4</v>
          </cell>
        </row>
        <row r="67">
          <cell r="A67">
            <v>5</v>
          </cell>
        </row>
        <row r="68">
          <cell r="A68">
            <v>6</v>
          </cell>
        </row>
        <row r="69">
          <cell r="A69">
            <v>7</v>
          </cell>
        </row>
        <row r="70">
          <cell r="A70">
            <v>8</v>
          </cell>
        </row>
        <row r="71">
          <cell r="A71">
            <v>9</v>
          </cell>
        </row>
        <row r="72">
          <cell r="A72">
            <v>10</v>
          </cell>
        </row>
        <row r="73">
          <cell r="A73">
            <v>11</v>
          </cell>
        </row>
        <row r="74">
          <cell r="A74">
            <v>12</v>
          </cell>
        </row>
        <row r="75">
          <cell r="A75">
            <v>15</v>
          </cell>
        </row>
        <row r="76">
          <cell r="A76">
            <v>16</v>
          </cell>
        </row>
        <row r="77">
          <cell r="A77">
            <v>19</v>
          </cell>
        </row>
        <row r="78">
          <cell r="A78">
            <v>20</v>
          </cell>
        </row>
        <row r="79">
          <cell r="A79">
            <v>22</v>
          </cell>
        </row>
        <row r="80">
          <cell r="A80">
            <v>23</v>
          </cell>
        </row>
        <row r="81">
          <cell r="A81">
            <v>26</v>
          </cell>
        </row>
        <row r="82">
          <cell r="A82">
            <v>28</v>
          </cell>
        </row>
        <row r="83">
          <cell r="A83">
            <v>29</v>
          </cell>
        </row>
        <row r="84">
          <cell r="A84">
            <v>30</v>
          </cell>
        </row>
        <row r="85">
          <cell r="A85">
            <v>31</v>
          </cell>
        </row>
        <row r="86">
          <cell r="A86">
            <v>32</v>
          </cell>
        </row>
        <row r="87">
          <cell r="A87">
            <v>33</v>
          </cell>
        </row>
        <row r="88">
          <cell r="A88">
            <v>34</v>
          </cell>
        </row>
        <row r="89">
          <cell r="A89">
            <v>35</v>
          </cell>
        </row>
        <row r="90">
          <cell r="A90">
            <v>36</v>
          </cell>
        </row>
        <row r="91">
          <cell r="A91">
            <v>39</v>
          </cell>
        </row>
        <row r="92">
          <cell r="A92">
            <v>40</v>
          </cell>
        </row>
        <row r="93">
          <cell r="A93">
            <v>42</v>
          </cell>
        </row>
        <row r="94">
          <cell r="A94">
            <v>44</v>
          </cell>
        </row>
        <row r="95">
          <cell r="A95">
            <v>45</v>
          </cell>
        </row>
        <row r="96">
          <cell r="A96">
            <v>49</v>
          </cell>
        </row>
        <row r="97">
          <cell r="A97">
            <v>51</v>
          </cell>
        </row>
        <row r="98">
          <cell r="A98">
            <v>59</v>
          </cell>
        </row>
        <row r="99">
          <cell r="A99">
            <v>66</v>
          </cell>
        </row>
        <row r="100">
          <cell r="A100">
            <v>67</v>
          </cell>
        </row>
        <row r="101">
          <cell r="A101">
            <v>68</v>
          </cell>
        </row>
        <row r="102">
          <cell r="A102">
            <v>69</v>
          </cell>
        </row>
        <row r="103">
          <cell r="A103">
            <v>70</v>
          </cell>
        </row>
        <row r="104">
          <cell r="A104">
            <v>71</v>
          </cell>
        </row>
        <row r="105">
          <cell r="A105">
            <v>72</v>
          </cell>
        </row>
        <row r="106">
          <cell r="A106">
            <v>73</v>
          </cell>
        </row>
        <row r="107">
          <cell r="A107">
            <v>74</v>
          </cell>
        </row>
        <row r="108">
          <cell r="A108">
            <v>76</v>
          </cell>
        </row>
        <row r="109">
          <cell r="A109">
            <v>77</v>
          </cell>
        </row>
        <row r="110">
          <cell r="A110">
            <v>78</v>
          </cell>
        </row>
        <row r="111">
          <cell r="A111">
            <v>79</v>
          </cell>
        </row>
        <row r="112">
          <cell r="A112">
            <v>80</v>
          </cell>
        </row>
        <row r="113">
          <cell r="A113">
            <v>81</v>
          </cell>
        </row>
        <row r="114">
          <cell r="A114">
            <v>82</v>
          </cell>
        </row>
        <row r="115">
          <cell r="A115">
            <v>85</v>
          </cell>
        </row>
        <row r="116">
          <cell r="A116">
            <v>86</v>
          </cell>
        </row>
        <row r="117">
          <cell r="A117">
            <v>87</v>
          </cell>
        </row>
        <row r="118">
          <cell r="A118">
            <v>88</v>
          </cell>
        </row>
        <row r="119">
          <cell r="A119">
            <v>100</v>
          </cell>
        </row>
        <row r="120">
          <cell r="A120">
            <v>102</v>
          </cell>
        </row>
        <row r="121">
          <cell r="A121">
            <v>104</v>
          </cell>
        </row>
        <row r="122">
          <cell r="A122">
            <v>106</v>
          </cell>
        </row>
        <row r="123">
          <cell r="A123">
            <v>108</v>
          </cell>
        </row>
        <row r="124">
          <cell r="A124">
            <v>110</v>
          </cell>
        </row>
        <row r="125">
          <cell r="A125">
            <v>112</v>
          </cell>
        </row>
        <row r="126">
          <cell r="A126">
            <v>114</v>
          </cell>
        </row>
        <row r="127">
          <cell r="A127">
            <v>116</v>
          </cell>
        </row>
        <row r="128">
          <cell r="A128">
            <v>118</v>
          </cell>
        </row>
        <row r="129">
          <cell r="A129">
            <v>120</v>
          </cell>
        </row>
        <row r="130">
          <cell r="A130">
            <v>121</v>
          </cell>
        </row>
        <row r="131">
          <cell r="A131">
            <v>122</v>
          </cell>
        </row>
        <row r="132">
          <cell r="A132">
            <v>123</v>
          </cell>
        </row>
        <row r="133">
          <cell r="A133">
            <v>124</v>
          </cell>
        </row>
        <row r="134">
          <cell r="A134">
            <v>125</v>
          </cell>
        </row>
        <row r="135">
          <cell r="A135">
            <v>126</v>
          </cell>
        </row>
        <row r="136">
          <cell r="A136">
            <v>127</v>
          </cell>
        </row>
        <row r="137">
          <cell r="A137">
            <v>128</v>
          </cell>
        </row>
        <row r="138">
          <cell r="A138">
            <v>129</v>
          </cell>
        </row>
        <row r="139">
          <cell r="A139">
            <v>130</v>
          </cell>
        </row>
        <row r="140">
          <cell r="A140">
            <v>132</v>
          </cell>
        </row>
        <row r="141">
          <cell r="A141">
            <v>134</v>
          </cell>
        </row>
        <row r="142">
          <cell r="A142">
            <v>135</v>
          </cell>
        </row>
        <row r="143">
          <cell r="A143">
            <v>137</v>
          </cell>
        </row>
        <row r="144">
          <cell r="A144">
            <v>138</v>
          </cell>
        </row>
        <row r="145">
          <cell r="A145">
            <v>140</v>
          </cell>
        </row>
        <row r="146">
          <cell r="A146">
            <v>142</v>
          </cell>
        </row>
      </sheetData>
      <sheetData sheetId="1"/>
      <sheetData sheetId="2"/>
      <sheetData sheetId="3"/>
      <sheetData sheetId="4"/>
      <sheetData sheetId="5">
        <row r="83">
          <cell r="A83" t="str">
            <v>Low Energy, Inductive</v>
          </cell>
          <cell r="D83">
            <v>1.2</v>
          </cell>
          <cell r="E83">
            <v>0.8</v>
          </cell>
        </row>
        <row r="84">
          <cell r="A84" t="str">
            <v>Low Energy, Low Voltage</v>
          </cell>
          <cell r="D84">
            <v>3.6</v>
          </cell>
          <cell r="E84">
            <v>3</v>
          </cell>
        </row>
        <row r="85">
          <cell r="A85" t="str">
            <v>Low Energy, Med Voltage</v>
          </cell>
          <cell r="D85">
            <v>7.2</v>
          </cell>
          <cell r="E85">
            <v>10</v>
          </cell>
        </row>
        <row r="86">
          <cell r="A86" t="str">
            <v>Low Energy, High Voltage</v>
          </cell>
          <cell r="D86">
            <v>10.8</v>
          </cell>
          <cell r="E86">
            <v>20</v>
          </cell>
        </row>
        <row r="87">
          <cell r="A87" t="str">
            <v>Low Energy, AC Output</v>
          </cell>
          <cell r="D87">
            <v>12</v>
          </cell>
          <cell r="E87">
            <v>70</v>
          </cell>
        </row>
        <row r="88">
          <cell r="A88" t="str">
            <v>Low Energy, 5V Input</v>
          </cell>
          <cell r="D88">
            <v>3.6</v>
          </cell>
          <cell r="E88">
            <v>2</v>
          </cell>
        </row>
        <row r="89">
          <cell r="A89" t="str">
            <v>Low Energy, 12V Input</v>
          </cell>
          <cell r="D89">
            <v>3.6</v>
          </cell>
          <cell r="E89">
            <v>5</v>
          </cell>
        </row>
        <row r="90">
          <cell r="A90" t="str">
            <v>Med Energy, Low Voltage</v>
          </cell>
          <cell r="D90">
            <v>12</v>
          </cell>
          <cell r="E90">
            <v>800</v>
          </cell>
        </row>
        <row r="91">
          <cell r="A91" t="str">
            <v>Med Energy, High Voltage</v>
          </cell>
          <cell r="D91">
            <v>48</v>
          </cell>
          <cell r="E91">
            <v>384</v>
          </cell>
        </row>
        <row r="92">
          <cell r="A92" t="str">
            <v>High Energy</v>
          </cell>
          <cell r="D92">
            <v>12</v>
          </cell>
          <cell r="E92">
            <v>10560</v>
          </cell>
        </row>
      </sheetData>
      <sheetData sheetId="6"/>
      <sheetData sheetId="7"/>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ons"/>
      <sheetName val="UpdateLog"/>
      <sheetName val="Vars"/>
      <sheetName val="Unit and Location Inputs"/>
      <sheetName val="Purchase Inputs"/>
      <sheetName val="Testing Master"/>
      <sheetName val="Purchases Master"/>
      <sheetName val="Sheet1"/>
      <sheetName val="Sheet2"/>
    </sheetNames>
    <sheetDataSet>
      <sheetData sheetId="0"/>
      <sheetData sheetId="1"/>
      <sheetData sheetId="2">
        <row r="4">
          <cell r="B4" t="str">
            <v>Package Details</v>
          </cell>
          <cell r="C4" t="str">
            <v/>
          </cell>
          <cell r="D4" t="str">
            <v/>
          </cell>
          <cell r="E4" t="str">
            <v/>
          </cell>
        </row>
        <row r="5">
          <cell r="B5" t="str">
            <v>Wall Adapter</v>
          </cell>
          <cell r="C5" t="str">
            <v>Cradle Charge Base</v>
          </cell>
          <cell r="D5" t="str">
            <v>Application</v>
          </cell>
          <cell r="E5" t="str">
            <v>Battery</v>
          </cell>
        </row>
      </sheetData>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angeLog"/>
      <sheetName val="Cover"/>
      <sheetName val="Vars"/>
      <sheetName val="Walkthrough"/>
      <sheetName val="Shipments Summary"/>
      <sheetName val="MarketSurvey Summary"/>
      <sheetName val="Usage&amp;Loading Summary"/>
      <sheetName val="Models Map"/>
      <sheetName val="Shipments(f)"/>
      <sheetName val="Shipments(w)"/>
      <sheetName val="UEC"/>
      <sheetName val="TEC(e)"/>
      <sheetName val="TEC(w)"/>
      <sheetName val="Results by App"/>
      <sheetName val="Results by Pout"/>
      <sheetName val="Charts"/>
    </sheetNames>
    <sheetDataSet>
      <sheetData sheetId="0" refreshError="1"/>
      <sheetData sheetId="1" refreshError="1"/>
      <sheetData sheetId="2">
        <row r="53">
          <cell r="C53">
            <v>0.2</v>
          </cell>
          <cell r="D53">
            <v>0.4</v>
          </cell>
          <cell r="E53">
            <v>0.6</v>
          </cell>
          <cell r="F53">
            <v>0.8</v>
          </cell>
          <cell r="G53">
            <v>1</v>
          </cell>
          <cell r="H53">
            <v>2</v>
          </cell>
          <cell r="I53">
            <v>3</v>
          </cell>
          <cell r="J53">
            <v>4</v>
          </cell>
          <cell r="K53">
            <v>5</v>
          </cell>
          <cell r="L53">
            <v>6</v>
          </cell>
          <cell r="M53">
            <v>7</v>
          </cell>
          <cell r="N53">
            <v>8</v>
          </cell>
          <cell r="O53">
            <v>9</v>
          </cell>
          <cell r="P53">
            <v>10</v>
          </cell>
          <cell r="Q53">
            <v>12</v>
          </cell>
          <cell r="R53">
            <v>14</v>
          </cell>
          <cell r="S53">
            <v>16</v>
          </cell>
          <cell r="T53">
            <v>18</v>
          </cell>
          <cell r="U53">
            <v>20</v>
          </cell>
          <cell r="V53">
            <v>22</v>
          </cell>
          <cell r="W53">
            <v>24</v>
          </cell>
          <cell r="X53">
            <v>26</v>
          </cell>
          <cell r="Y53">
            <v>28</v>
          </cell>
          <cell r="Z53">
            <v>30</v>
          </cell>
          <cell r="AA53">
            <v>32</v>
          </cell>
          <cell r="AB53">
            <v>34</v>
          </cell>
          <cell r="AC53">
            <v>36</v>
          </cell>
          <cell r="AD53">
            <v>38</v>
          </cell>
          <cell r="AE53">
            <v>40</v>
          </cell>
          <cell r="AF53">
            <v>42</v>
          </cell>
          <cell r="AG53">
            <v>44</v>
          </cell>
          <cell r="AH53">
            <v>46</v>
          </cell>
          <cell r="AI53">
            <v>48</v>
          </cell>
          <cell r="AJ53">
            <v>50</v>
          </cell>
          <cell r="AK53">
            <v>52</v>
          </cell>
          <cell r="AL53">
            <v>54</v>
          </cell>
          <cell r="AM53">
            <v>56</v>
          </cell>
          <cell r="AN53">
            <v>58</v>
          </cell>
          <cell r="AO53">
            <v>60</v>
          </cell>
          <cell r="AP53">
            <v>62</v>
          </cell>
          <cell r="AQ53">
            <v>64</v>
          </cell>
          <cell r="AR53">
            <v>66</v>
          </cell>
          <cell r="AS53">
            <v>68</v>
          </cell>
          <cell r="AT53">
            <v>70</v>
          </cell>
          <cell r="AU53">
            <v>72</v>
          </cell>
          <cell r="AV53">
            <v>74</v>
          </cell>
          <cell r="AW53">
            <v>76</v>
          </cell>
          <cell r="AX53">
            <v>78</v>
          </cell>
          <cell r="AY53">
            <v>80</v>
          </cell>
          <cell r="AZ53">
            <v>82</v>
          </cell>
          <cell r="BA53">
            <v>84</v>
          </cell>
          <cell r="BB53">
            <v>86</v>
          </cell>
          <cell r="BC53">
            <v>88</v>
          </cell>
          <cell r="BD53">
            <v>90</v>
          </cell>
          <cell r="BE53">
            <v>92</v>
          </cell>
          <cell r="BF53">
            <v>94</v>
          </cell>
          <cell r="BG53">
            <v>96</v>
          </cell>
          <cell r="BH53">
            <v>98</v>
          </cell>
          <cell r="BI53">
            <v>100</v>
          </cell>
          <cell r="BJ53">
            <v>105</v>
          </cell>
          <cell r="BK53">
            <v>110</v>
          </cell>
          <cell r="BL53">
            <v>115</v>
          </cell>
          <cell r="BM53">
            <v>120</v>
          </cell>
          <cell r="BN53">
            <v>125</v>
          </cell>
          <cell r="BO53">
            <v>130</v>
          </cell>
          <cell r="BP53">
            <v>135</v>
          </cell>
          <cell r="BQ53">
            <v>140</v>
          </cell>
          <cell r="BR53">
            <v>145</v>
          </cell>
          <cell r="BS53">
            <v>150</v>
          </cell>
          <cell r="BT53">
            <v>155</v>
          </cell>
          <cell r="BU53">
            <v>160</v>
          </cell>
          <cell r="BV53">
            <v>165</v>
          </cell>
          <cell r="BW53">
            <v>170</v>
          </cell>
          <cell r="BX53">
            <v>175</v>
          </cell>
          <cell r="BY53">
            <v>180</v>
          </cell>
          <cell r="BZ53">
            <v>185</v>
          </cell>
          <cell r="CA53">
            <v>190</v>
          </cell>
          <cell r="CB53">
            <v>195</v>
          </cell>
          <cell r="CC53">
            <v>200</v>
          </cell>
          <cell r="CD53">
            <v>205</v>
          </cell>
          <cell r="CE53">
            <v>210</v>
          </cell>
          <cell r="CF53">
            <v>215</v>
          </cell>
          <cell r="CG53">
            <v>220</v>
          </cell>
          <cell r="CH53">
            <v>225</v>
          </cell>
          <cell r="CI53">
            <v>230</v>
          </cell>
          <cell r="CJ53">
            <v>235</v>
          </cell>
          <cell r="CK53">
            <v>240</v>
          </cell>
          <cell r="CL53">
            <v>245</v>
          </cell>
          <cell r="CM53">
            <v>250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E18"/>
  <sheetViews>
    <sheetView tabSelected="1" workbookViewId="0">
      <selection activeCell="C2" sqref="C2"/>
    </sheetView>
  </sheetViews>
  <sheetFormatPr defaultRowHeight="12.75"/>
  <cols>
    <col min="1" max="1" width="9.140625" style="301"/>
    <col min="2" max="2" width="23.140625" style="301" customWidth="1"/>
    <col min="3" max="3" width="89.28515625" style="150" customWidth="1"/>
    <col min="4" max="4" width="9.140625" style="150"/>
    <col min="5" max="5" width="36.140625" style="150" customWidth="1"/>
    <col min="6" max="16384" width="9.140625" style="150"/>
  </cols>
  <sheetData>
    <row r="1" spans="1:5" ht="15">
      <c r="A1" s="307" t="s">
        <v>612</v>
      </c>
    </row>
    <row r="2" spans="1:5" ht="15">
      <c r="A2" s="307" t="s">
        <v>613</v>
      </c>
    </row>
    <row r="3" spans="1:5" ht="15">
      <c r="A3" s="307" t="s">
        <v>614</v>
      </c>
    </row>
    <row r="4" spans="1:5" ht="15">
      <c r="A4" s="307" t="s">
        <v>615</v>
      </c>
      <c r="C4" s="149" t="s">
        <v>616</v>
      </c>
    </row>
    <row r="5" spans="1:5">
      <c r="A5" s="301" t="s">
        <v>743</v>
      </c>
    </row>
    <row r="6" spans="1:5">
      <c r="A6" s="301" t="s">
        <v>617</v>
      </c>
      <c r="C6" s="1143" t="s">
        <v>1446</v>
      </c>
    </row>
    <row r="8" spans="1:5" ht="13.5" thickBot="1">
      <c r="A8" s="301" t="s">
        <v>618</v>
      </c>
    </row>
    <row r="9" spans="1:5" ht="13.5" thickBot="1">
      <c r="A9" s="308" t="s">
        <v>198</v>
      </c>
      <c r="B9" s="302" t="s">
        <v>619</v>
      </c>
      <c r="C9" s="151" t="s">
        <v>620</v>
      </c>
      <c r="D9" s="295"/>
      <c r="E9" s="296"/>
    </row>
    <row r="10" spans="1:5" ht="114.75">
      <c r="A10" s="309">
        <v>2</v>
      </c>
      <c r="B10" s="303" t="s">
        <v>87</v>
      </c>
      <c r="C10" s="177" t="s">
        <v>1444</v>
      </c>
      <c r="D10" s="296"/>
      <c r="E10" s="300"/>
    </row>
    <row r="11" spans="1:5" ht="25.5">
      <c r="A11" s="310">
        <v>3</v>
      </c>
      <c r="B11" s="304" t="s">
        <v>173</v>
      </c>
      <c r="C11" s="178" t="s">
        <v>631</v>
      </c>
      <c r="D11" s="296"/>
      <c r="E11" s="296"/>
    </row>
    <row r="12" spans="1:5" ht="38.25">
      <c r="A12" s="310">
        <v>4</v>
      </c>
      <c r="B12" s="304" t="s">
        <v>621</v>
      </c>
      <c r="C12" s="178" t="s">
        <v>737</v>
      </c>
      <c r="D12" s="296"/>
      <c r="E12" s="296"/>
    </row>
    <row r="13" spans="1:5" ht="63.75">
      <c r="A13" s="310">
        <v>5</v>
      </c>
      <c r="B13" s="304" t="s">
        <v>622</v>
      </c>
      <c r="C13" s="178" t="s">
        <v>1445</v>
      </c>
      <c r="D13" s="296"/>
      <c r="E13" s="296"/>
    </row>
    <row r="14" spans="1:5" ht="76.5">
      <c r="A14" s="310">
        <v>6</v>
      </c>
      <c r="B14" s="304" t="s">
        <v>623</v>
      </c>
      <c r="C14" s="178" t="s">
        <v>740</v>
      </c>
    </row>
    <row r="15" spans="1:5" ht="25.5">
      <c r="A15" s="310">
        <v>7</v>
      </c>
      <c r="B15" s="305" t="s">
        <v>738</v>
      </c>
      <c r="C15" s="1159" t="s">
        <v>741</v>
      </c>
    </row>
    <row r="16" spans="1:5" ht="26.25" customHeight="1">
      <c r="A16" s="310">
        <v>8</v>
      </c>
      <c r="B16" s="305" t="s">
        <v>739</v>
      </c>
      <c r="C16" s="1160"/>
    </row>
    <row r="17" spans="1:3" ht="25.5">
      <c r="A17" s="310">
        <v>9</v>
      </c>
      <c r="B17" s="304" t="s">
        <v>55</v>
      </c>
      <c r="C17" s="178" t="s">
        <v>742</v>
      </c>
    </row>
    <row r="18" spans="1:3" ht="26.25" thickBot="1">
      <c r="A18" s="311">
        <v>10</v>
      </c>
      <c r="B18" s="306" t="s">
        <v>630</v>
      </c>
      <c r="C18" s="179" t="s">
        <v>1447</v>
      </c>
    </row>
  </sheetData>
  <mergeCells count="1">
    <mergeCell ref="C15:C16"/>
  </mergeCells>
  <pageMargins left="0.7" right="0.7" top="0.75" bottom="0.75" header="0.3" footer="0.3"/>
</worksheet>
</file>

<file path=xl/worksheets/sheet10.xml><?xml version="1.0" encoding="utf-8"?>
<worksheet xmlns="http://schemas.openxmlformats.org/spreadsheetml/2006/main" xmlns:r="http://schemas.openxmlformats.org/officeDocument/2006/relationships">
  <sheetPr>
    <tabColor rgb="FF00FF00"/>
  </sheetPr>
  <dimension ref="A1:T473"/>
  <sheetViews>
    <sheetView zoomScale="55" zoomScaleNormal="55" workbookViewId="0">
      <selection activeCell="L28" sqref="L28"/>
    </sheetView>
  </sheetViews>
  <sheetFormatPr defaultRowHeight="12.75"/>
  <cols>
    <col min="2" max="2" width="12.85546875" bestFit="1" customWidth="1"/>
    <col min="3" max="3" width="41.140625" bestFit="1" customWidth="1"/>
    <col min="4" max="4" width="13.42578125" customWidth="1"/>
    <col min="5" max="5" width="14.140625" bestFit="1" customWidth="1"/>
    <col min="6" max="6" width="13.42578125" bestFit="1" customWidth="1"/>
    <col min="7" max="7" width="13.85546875" bestFit="1" customWidth="1"/>
    <col min="8" max="8" width="13.42578125" bestFit="1" customWidth="1"/>
    <col min="9" max="9" width="16" customWidth="1"/>
    <col min="10" max="10" width="16.28515625" bestFit="1" customWidth="1"/>
    <col min="11" max="11" width="16" bestFit="1" customWidth="1"/>
    <col min="12" max="12" width="15.42578125" bestFit="1" customWidth="1"/>
    <col min="13" max="15" width="16" bestFit="1" customWidth="1"/>
    <col min="16" max="16" width="15.7109375" bestFit="1" customWidth="1"/>
    <col min="17" max="17" width="16" bestFit="1" customWidth="1"/>
    <col min="18" max="18" width="1.5703125" style="185" customWidth="1"/>
    <col min="19" max="19" width="16" bestFit="1" customWidth="1"/>
    <col min="20" max="20" width="15.7109375" bestFit="1" customWidth="1"/>
  </cols>
  <sheetData>
    <row r="1" spans="1:20" ht="15">
      <c r="A1" s="543"/>
      <c r="B1" s="1094"/>
      <c r="C1" s="1095"/>
      <c r="D1" s="1096"/>
      <c r="E1" s="1095"/>
      <c r="F1" s="546"/>
      <c r="G1" s="546"/>
      <c r="H1" s="547"/>
      <c r="I1" s="548"/>
      <c r="J1" s="544"/>
      <c r="K1" s="548"/>
      <c r="L1" s="548"/>
      <c r="M1" s="548"/>
      <c r="N1" s="548"/>
      <c r="O1" s="548"/>
      <c r="P1" s="548"/>
      <c r="Q1" s="548"/>
    </row>
    <row r="2" spans="1:20" ht="26.25">
      <c r="A2" s="549"/>
      <c r="B2" s="1094"/>
      <c r="C2" s="1097"/>
      <c r="D2" s="1098"/>
      <c r="E2" s="1095"/>
      <c r="F2" s="546"/>
      <c r="G2" s="546"/>
      <c r="H2" s="547"/>
      <c r="I2" s="550" t="s">
        <v>953</v>
      </c>
      <c r="J2" s="544"/>
      <c r="K2" s="551"/>
      <c r="L2" s="548"/>
      <c r="M2" s="548"/>
      <c r="N2" s="548"/>
      <c r="O2" s="548"/>
      <c r="P2" s="548"/>
      <c r="Q2" s="548"/>
    </row>
    <row r="3" spans="1:20" ht="15">
      <c r="A3" s="549"/>
      <c r="B3" s="1094"/>
      <c r="C3" s="1099"/>
      <c r="D3" s="1100"/>
      <c r="E3" s="1095"/>
      <c r="F3" s="546"/>
      <c r="G3" s="546"/>
      <c r="H3" s="547"/>
      <c r="I3" s="548"/>
      <c r="J3" s="544"/>
      <c r="K3" s="548"/>
      <c r="L3" s="548"/>
      <c r="M3" s="548"/>
      <c r="N3" s="548"/>
      <c r="O3" s="548"/>
      <c r="P3" s="548"/>
      <c r="Q3" s="548"/>
    </row>
    <row r="4" spans="1:20" ht="15">
      <c r="A4" s="544"/>
      <c r="B4" s="544"/>
      <c r="C4" s="545"/>
      <c r="D4" s="545"/>
      <c r="E4" s="545"/>
      <c r="F4" s="546"/>
      <c r="G4" s="546"/>
      <c r="H4" s="547"/>
      <c r="I4" s="548"/>
      <c r="J4" s="544"/>
      <c r="K4" s="548"/>
      <c r="L4" s="548"/>
      <c r="M4" s="548"/>
      <c r="N4" s="548"/>
      <c r="O4" s="548"/>
      <c r="P4" s="548"/>
      <c r="Q4" s="548"/>
    </row>
    <row r="5" spans="1:20" ht="3.75" customHeight="1">
      <c r="A5" s="552"/>
      <c r="B5" s="552"/>
      <c r="C5" s="553"/>
      <c r="D5" s="553"/>
      <c r="E5" s="553"/>
      <c r="F5" s="554"/>
      <c r="G5" s="554"/>
      <c r="H5" s="555"/>
      <c r="I5" s="556"/>
      <c r="J5" s="554"/>
      <c r="K5" s="556"/>
      <c r="L5" s="556"/>
      <c r="M5" s="556"/>
      <c r="N5" s="556"/>
      <c r="O5" s="556"/>
      <c r="P5" s="556"/>
      <c r="Q5" s="556"/>
    </row>
    <row r="6" spans="1:20" ht="15">
      <c r="A6" s="557"/>
      <c r="B6" s="799" t="s">
        <v>1173</v>
      </c>
      <c r="C6" s="800" t="s">
        <v>1175</v>
      </c>
      <c r="D6" s="557"/>
      <c r="E6" s="557"/>
      <c r="F6" s="557"/>
      <c r="G6" s="557"/>
      <c r="H6" s="557"/>
      <c r="I6" s="557"/>
      <c r="J6" s="557"/>
      <c r="K6" s="557"/>
      <c r="L6" s="557"/>
      <c r="M6" s="557"/>
      <c r="N6" s="557"/>
      <c r="O6" s="557"/>
      <c r="P6" s="557"/>
      <c r="Q6" s="557"/>
    </row>
    <row r="7" spans="1:20" ht="15" customHeight="1" thickBot="1">
      <c r="A7" s="557"/>
      <c r="B7" s="799" t="s">
        <v>1174</v>
      </c>
      <c r="C7" s="800" t="s">
        <v>1176</v>
      </c>
      <c r="D7" s="557"/>
      <c r="E7" s="557"/>
      <c r="F7" s="608"/>
      <c r="G7" s="609" t="s">
        <v>173</v>
      </c>
      <c r="H7" s="609"/>
      <c r="I7" s="557"/>
      <c r="J7" s="557"/>
      <c r="K7" s="610"/>
      <c r="L7" s="611"/>
      <c r="M7" s="611" t="s">
        <v>954</v>
      </c>
      <c r="N7" s="611"/>
      <c r="O7" s="611"/>
      <c r="P7" s="611"/>
      <c r="Q7" s="612"/>
    </row>
    <row r="8" spans="1:20" ht="60" customHeight="1" thickBot="1">
      <c r="A8" s="1213" t="s">
        <v>1224</v>
      </c>
      <c r="B8" s="558" t="s">
        <v>955</v>
      </c>
      <c r="C8" s="559" t="s">
        <v>104</v>
      </c>
      <c r="D8" s="558" t="s">
        <v>769</v>
      </c>
      <c r="E8" s="558" t="s">
        <v>255</v>
      </c>
      <c r="F8" s="560" t="s">
        <v>956</v>
      </c>
      <c r="G8" s="560" t="s">
        <v>957</v>
      </c>
      <c r="H8" s="560" t="s">
        <v>958</v>
      </c>
      <c r="I8" s="561" t="s">
        <v>959</v>
      </c>
      <c r="J8" s="562" t="s">
        <v>960</v>
      </c>
      <c r="K8" s="562" t="s">
        <v>961</v>
      </c>
      <c r="L8" s="562" t="s">
        <v>962</v>
      </c>
      <c r="M8" s="562" t="s">
        <v>963</v>
      </c>
      <c r="N8" s="562" t="s">
        <v>964</v>
      </c>
      <c r="O8" s="562" t="s">
        <v>965</v>
      </c>
      <c r="P8" s="562" t="s">
        <v>966</v>
      </c>
      <c r="Q8" s="563" t="s">
        <v>967</v>
      </c>
      <c r="S8" s="602" t="s">
        <v>771</v>
      </c>
      <c r="T8" s="601" t="s">
        <v>770</v>
      </c>
    </row>
    <row r="9" spans="1:20" ht="15">
      <c r="A9" s="1213"/>
      <c r="B9" s="564">
        <v>1</v>
      </c>
      <c r="C9" s="605" t="s">
        <v>1052</v>
      </c>
      <c r="D9" s="564" t="s">
        <v>770</v>
      </c>
      <c r="E9" s="696">
        <v>14042770</v>
      </c>
      <c r="F9" s="566">
        <v>5</v>
      </c>
      <c r="G9" s="566">
        <v>5.333333333333333</v>
      </c>
      <c r="H9" s="566">
        <v>6</v>
      </c>
      <c r="I9" s="567">
        <v>2.0584434665647966</v>
      </c>
      <c r="J9" s="568">
        <v>1.3209883942842358</v>
      </c>
      <c r="K9" s="569">
        <v>0.46428571428571425</v>
      </c>
      <c r="L9" s="569">
        <v>0.46428571428571425</v>
      </c>
      <c r="M9" s="569">
        <v>7.1428571428571425E-2</v>
      </c>
      <c r="N9" s="569">
        <v>0</v>
      </c>
      <c r="O9" s="569">
        <v>0</v>
      </c>
      <c r="P9" s="569"/>
      <c r="Q9" s="570"/>
      <c r="S9" s="603">
        <f>IF(D9="Commercial",1,0)</f>
        <v>0</v>
      </c>
      <c r="T9" s="599">
        <f>IF(D9="Residential",1,0)</f>
        <v>1</v>
      </c>
    </row>
    <row r="10" spans="1:20" ht="15">
      <c r="A10" s="1213"/>
      <c r="B10" s="564">
        <v>2</v>
      </c>
      <c r="C10" s="605" t="s">
        <v>1051</v>
      </c>
      <c r="D10" s="564" t="s">
        <v>770</v>
      </c>
      <c r="E10" s="696">
        <v>10980070</v>
      </c>
      <c r="F10" s="566">
        <v>5</v>
      </c>
      <c r="G10" s="566">
        <v>5.333333333333333</v>
      </c>
      <c r="H10" s="566">
        <v>6</v>
      </c>
      <c r="I10" s="567">
        <v>2.0584434665647966</v>
      </c>
      <c r="J10" s="568">
        <v>1.3209883942842358</v>
      </c>
      <c r="K10" s="571">
        <v>0.46428571428571425</v>
      </c>
      <c r="L10" s="571">
        <v>0.46428571428571425</v>
      </c>
      <c r="M10" s="571">
        <v>7.1428571428571425E-2</v>
      </c>
      <c r="N10" s="571">
        <v>0</v>
      </c>
      <c r="O10" s="571">
        <v>0</v>
      </c>
      <c r="P10" s="571"/>
      <c r="Q10" s="572"/>
      <c r="S10" s="603">
        <f t="shared" ref="S10:S48" si="0">IF(D10="Commercial",1,0)</f>
        <v>0</v>
      </c>
      <c r="T10" s="599">
        <f t="shared" ref="T10:T48" si="1">IF(D10="Residential",1,0)</f>
        <v>1</v>
      </c>
    </row>
    <row r="11" spans="1:20" ht="15">
      <c r="A11" s="1213"/>
      <c r="B11" s="564">
        <v>3</v>
      </c>
      <c r="C11" s="605" t="s">
        <v>1048</v>
      </c>
      <c r="D11" s="564" t="s">
        <v>770</v>
      </c>
      <c r="E11" s="696">
        <v>8481510</v>
      </c>
      <c r="F11" s="566">
        <v>1.5</v>
      </c>
      <c r="G11" s="566">
        <v>4</v>
      </c>
      <c r="H11" s="566">
        <v>4</v>
      </c>
      <c r="I11" s="567">
        <v>2.1445792714936389</v>
      </c>
      <c r="J11" s="568">
        <v>1.4589116551573651</v>
      </c>
      <c r="K11" s="571">
        <v>0.45833333333333331</v>
      </c>
      <c r="L11" s="571">
        <v>0.54166666666666663</v>
      </c>
      <c r="M11" s="571">
        <v>0</v>
      </c>
      <c r="N11" s="571">
        <v>0</v>
      </c>
      <c r="O11" s="571">
        <v>0</v>
      </c>
      <c r="P11" s="571"/>
      <c r="Q11" s="572"/>
      <c r="S11" s="603">
        <f t="shared" si="0"/>
        <v>0</v>
      </c>
      <c r="T11" s="599">
        <f t="shared" si="1"/>
        <v>1</v>
      </c>
    </row>
    <row r="12" spans="1:20" ht="15">
      <c r="A12" s="1213"/>
      <c r="B12" s="564">
        <v>4</v>
      </c>
      <c r="C12" s="605" t="s">
        <v>1057</v>
      </c>
      <c r="D12" s="564" t="s">
        <v>770</v>
      </c>
      <c r="E12" s="696">
        <v>6481902.6000000006</v>
      </c>
      <c r="F12" s="566">
        <v>3</v>
      </c>
      <c r="G12" s="566">
        <v>3</v>
      </c>
      <c r="H12" s="566">
        <v>3</v>
      </c>
      <c r="I12" s="567">
        <v>2.2730303617553296</v>
      </c>
      <c r="J12" s="568">
        <v>1.447651083752618</v>
      </c>
      <c r="K12" s="571">
        <v>0.4</v>
      </c>
      <c r="L12" s="571">
        <v>0.5</v>
      </c>
      <c r="M12" s="571">
        <v>0.04</v>
      </c>
      <c r="N12" s="571">
        <v>0.06</v>
      </c>
      <c r="O12" s="571">
        <v>0</v>
      </c>
      <c r="P12" s="571"/>
      <c r="Q12" s="572"/>
      <c r="S12" s="603">
        <f t="shared" si="0"/>
        <v>0</v>
      </c>
      <c r="T12" s="599">
        <f t="shared" si="1"/>
        <v>1</v>
      </c>
    </row>
    <row r="13" spans="1:20" ht="15">
      <c r="A13" s="1213"/>
      <c r="B13" s="564">
        <v>5</v>
      </c>
      <c r="C13" s="605" t="s">
        <v>1082</v>
      </c>
      <c r="D13" s="564" t="s">
        <v>770</v>
      </c>
      <c r="E13" s="696">
        <v>5287500</v>
      </c>
      <c r="F13" s="566">
        <v>4</v>
      </c>
      <c r="G13" s="566">
        <v>4.5</v>
      </c>
      <c r="H13" s="566">
        <v>5</v>
      </c>
      <c r="I13" s="567">
        <v>1.9986022566199177</v>
      </c>
      <c r="J13" s="568">
        <v>1.2252368435607179</v>
      </c>
      <c r="K13" s="571">
        <v>0.30172413793103448</v>
      </c>
      <c r="L13" s="571">
        <v>0.52586206896551724</v>
      </c>
      <c r="M13" s="571">
        <v>0.12931034482758622</v>
      </c>
      <c r="N13" s="571">
        <v>4.3103448275862072E-2</v>
      </c>
      <c r="O13" s="571">
        <v>0</v>
      </c>
      <c r="P13" s="571"/>
      <c r="Q13" s="572"/>
      <c r="S13" s="603">
        <f t="shared" si="0"/>
        <v>0</v>
      </c>
      <c r="T13" s="599">
        <f t="shared" si="1"/>
        <v>1</v>
      </c>
    </row>
    <row r="14" spans="1:20" ht="15">
      <c r="A14" s="1213"/>
      <c r="B14" s="564">
        <v>6</v>
      </c>
      <c r="C14" s="605" t="s">
        <v>1049</v>
      </c>
      <c r="D14" s="564" t="s">
        <v>770</v>
      </c>
      <c r="E14" s="696">
        <v>3498855</v>
      </c>
      <c r="F14" s="566">
        <v>2</v>
      </c>
      <c r="G14" s="566">
        <v>4</v>
      </c>
      <c r="H14" s="566">
        <v>4.9000000000000004</v>
      </c>
      <c r="I14" s="567">
        <v>2.1445792714936389</v>
      </c>
      <c r="J14" s="568">
        <v>1.4589116551573651</v>
      </c>
      <c r="K14" s="571">
        <v>0.4</v>
      </c>
      <c r="L14" s="571">
        <v>0.5</v>
      </c>
      <c r="M14" s="571">
        <v>0.04</v>
      </c>
      <c r="N14" s="571">
        <v>0.06</v>
      </c>
      <c r="O14" s="571">
        <v>0</v>
      </c>
      <c r="P14" s="571"/>
      <c r="Q14" s="572"/>
      <c r="S14" s="603">
        <f t="shared" si="0"/>
        <v>0</v>
      </c>
      <c r="T14" s="599">
        <f t="shared" si="1"/>
        <v>1</v>
      </c>
    </row>
    <row r="15" spans="1:20" ht="15">
      <c r="A15" s="1213"/>
      <c r="B15" s="564">
        <v>7</v>
      </c>
      <c r="C15" s="605" t="s">
        <v>1054</v>
      </c>
      <c r="D15" s="564" t="s">
        <v>770</v>
      </c>
      <c r="E15" s="696">
        <v>3400000</v>
      </c>
      <c r="F15" s="566">
        <v>4</v>
      </c>
      <c r="G15" s="566">
        <v>4</v>
      </c>
      <c r="H15" s="566">
        <v>4</v>
      </c>
      <c r="I15" s="567">
        <v>2.1747396831740726</v>
      </c>
      <c r="J15" s="568">
        <v>1.3333567987466031</v>
      </c>
      <c r="K15" s="571">
        <v>0.4</v>
      </c>
      <c r="L15" s="571">
        <v>0.5</v>
      </c>
      <c r="M15" s="571">
        <v>0.04</v>
      </c>
      <c r="N15" s="571">
        <v>0.06</v>
      </c>
      <c r="O15" s="571">
        <v>0</v>
      </c>
      <c r="P15" s="571"/>
      <c r="Q15" s="572"/>
      <c r="S15" s="603">
        <f t="shared" si="0"/>
        <v>0</v>
      </c>
      <c r="T15" s="599">
        <f t="shared" si="1"/>
        <v>1</v>
      </c>
    </row>
    <row r="16" spans="1:20" ht="15">
      <c r="A16" s="1213"/>
      <c r="B16" s="564">
        <v>8</v>
      </c>
      <c r="C16" s="605" t="s">
        <v>1118</v>
      </c>
      <c r="D16" s="564" t="s">
        <v>771</v>
      </c>
      <c r="E16" s="696">
        <v>2876230</v>
      </c>
      <c r="F16" s="566">
        <v>5</v>
      </c>
      <c r="G16" s="566">
        <v>5.333333333333333</v>
      </c>
      <c r="H16" s="566">
        <v>6</v>
      </c>
      <c r="I16" s="567">
        <v>2.0584434665647966</v>
      </c>
      <c r="J16" s="568">
        <v>1.3209883942842358</v>
      </c>
      <c r="K16" s="571">
        <v>0.46428571428571425</v>
      </c>
      <c r="L16" s="571">
        <v>0.46428571428571425</v>
      </c>
      <c r="M16" s="571">
        <v>7.1428571428571425E-2</v>
      </c>
      <c r="N16" s="571">
        <v>0</v>
      </c>
      <c r="O16" s="571">
        <v>0</v>
      </c>
      <c r="P16" s="571"/>
      <c r="Q16" s="572"/>
      <c r="S16" s="603">
        <f t="shared" si="0"/>
        <v>1</v>
      </c>
      <c r="T16" s="599">
        <f t="shared" si="1"/>
        <v>0</v>
      </c>
    </row>
    <row r="17" spans="1:20" ht="15">
      <c r="A17" s="1213"/>
      <c r="B17" s="564">
        <v>9</v>
      </c>
      <c r="C17" s="605" t="s">
        <v>1117</v>
      </c>
      <c r="D17" s="564" t="s">
        <v>771</v>
      </c>
      <c r="E17" s="696">
        <v>2248930</v>
      </c>
      <c r="F17" s="566">
        <v>5</v>
      </c>
      <c r="G17" s="566">
        <v>5.333333333333333</v>
      </c>
      <c r="H17" s="566">
        <v>6</v>
      </c>
      <c r="I17" s="567">
        <v>2.0584434665647966</v>
      </c>
      <c r="J17" s="568">
        <v>1.3209883942842358</v>
      </c>
      <c r="K17" s="571">
        <v>0.46428571428571425</v>
      </c>
      <c r="L17" s="571">
        <v>0.46428571428571425</v>
      </c>
      <c r="M17" s="571">
        <v>7.1428571428571425E-2</v>
      </c>
      <c r="N17" s="571">
        <v>0</v>
      </c>
      <c r="O17" s="571">
        <v>0</v>
      </c>
      <c r="P17" s="571"/>
      <c r="Q17" s="572"/>
      <c r="S17" s="603">
        <f t="shared" si="0"/>
        <v>1</v>
      </c>
      <c r="T17" s="599">
        <f t="shared" si="1"/>
        <v>0</v>
      </c>
    </row>
    <row r="18" spans="1:20" ht="15">
      <c r="A18" s="1213"/>
      <c r="B18" s="564">
        <v>10</v>
      </c>
      <c r="C18" s="605" t="s">
        <v>1084</v>
      </c>
      <c r="D18" s="564" t="s">
        <v>770</v>
      </c>
      <c r="E18" s="696">
        <v>2164000</v>
      </c>
      <c r="F18" s="566">
        <v>3.25</v>
      </c>
      <c r="G18" s="566">
        <v>4.125</v>
      </c>
      <c r="H18" s="566">
        <v>5</v>
      </c>
      <c r="I18" s="567">
        <v>1.9986022566199177</v>
      </c>
      <c r="J18" s="568">
        <v>1.2252368435607179</v>
      </c>
      <c r="K18" s="571">
        <v>0.30172413793103448</v>
      </c>
      <c r="L18" s="571">
        <v>0.52586206896551724</v>
      </c>
      <c r="M18" s="571">
        <v>0.12931034482758622</v>
      </c>
      <c r="N18" s="571">
        <v>4.3103448275862072E-2</v>
      </c>
      <c r="O18" s="571">
        <v>0</v>
      </c>
      <c r="P18" s="571"/>
      <c r="Q18" s="572"/>
      <c r="S18" s="603">
        <f t="shared" si="0"/>
        <v>0</v>
      </c>
      <c r="T18" s="599">
        <f t="shared" si="1"/>
        <v>1</v>
      </c>
    </row>
    <row r="19" spans="1:20" ht="15">
      <c r="A19" s="1213"/>
      <c r="B19" s="564">
        <v>11</v>
      </c>
      <c r="C19" s="605" t="s">
        <v>1025</v>
      </c>
      <c r="D19" s="564" t="s">
        <v>770</v>
      </c>
      <c r="E19" s="696">
        <v>1533679.9999999998</v>
      </c>
      <c r="F19" s="566">
        <v>10</v>
      </c>
      <c r="G19" s="566">
        <v>10</v>
      </c>
      <c r="H19" s="566">
        <v>10</v>
      </c>
      <c r="I19" s="567">
        <v>2.1747396831740726</v>
      </c>
      <c r="J19" s="568">
        <v>1.3333567987466031</v>
      </c>
      <c r="K19" s="571">
        <v>0.4</v>
      </c>
      <c r="L19" s="571">
        <v>0.5</v>
      </c>
      <c r="M19" s="571">
        <v>0.04</v>
      </c>
      <c r="N19" s="571">
        <v>0.06</v>
      </c>
      <c r="O19" s="571">
        <v>0</v>
      </c>
      <c r="P19" s="571"/>
      <c r="Q19" s="572"/>
      <c r="S19" s="603">
        <f t="shared" si="0"/>
        <v>0</v>
      </c>
      <c r="T19" s="599">
        <f t="shared" si="1"/>
        <v>1</v>
      </c>
    </row>
    <row r="20" spans="1:20" ht="15">
      <c r="A20" s="1213"/>
      <c r="B20" s="564">
        <v>12</v>
      </c>
      <c r="C20" s="605" t="s">
        <v>1083</v>
      </c>
      <c r="D20" s="564" t="s">
        <v>770</v>
      </c>
      <c r="E20" s="696">
        <v>1137726.375</v>
      </c>
      <c r="F20" s="566">
        <v>5</v>
      </c>
      <c r="G20" s="566">
        <v>5</v>
      </c>
      <c r="H20" s="566">
        <v>5</v>
      </c>
      <c r="I20" s="567">
        <v>1.9986022566199177</v>
      </c>
      <c r="J20" s="568">
        <v>1.2252368435607179</v>
      </c>
      <c r="K20" s="571">
        <v>0.30172413793103448</v>
      </c>
      <c r="L20" s="571">
        <v>0.52586206896551724</v>
      </c>
      <c r="M20" s="571">
        <v>0.12931034482758622</v>
      </c>
      <c r="N20" s="571">
        <v>4.3103448275862072E-2</v>
      </c>
      <c r="O20" s="571">
        <v>0</v>
      </c>
      <c r="P20" s="571"/>
      <c r="Q20" s="572"/>
      <c r="S20" s="603">
        <f t="shared" si="0"/>
        <v>0</v>
      </c>
      <c r="T20" s="599">
        <f t="shared" si="1"/>
        <v>1</v>
      </c>
    </row>
    <row r="21" spans="1:20" ht="15">
      <c r="A21" s="1213"/>
      <c r="B21" s="564">
        <v>13</v>
      </c>
      <c r="C21" s="605" t="s">
        <v>1115</v>
      </c>
      <c r="D21" s="564" t="s">
        <v>771</v>
      </c>
      <c r="E21" s="696">
        <v>942390</v>
      </c>
      <c r="F21" s="566">
        <v>1.5</v>
      </c>
      <c r="G21" s="566">
        <v>4</v>
      </c>
      <c r="H21" s="566">
        <v>4</v>
      </c>
      <c r="I21" s="567">
        <v>2.1445792714936389</v>
      </c>
      <c r="J21" s="568">
        <v>1.4589116551573651</v>
      </c>
      <c r="K21" s="571">
        <v>0.45833333333333331</v>
      </c>
      <c r="L21" s="571">
        <v>0.54166666666666663</v>
      </c>
      <c r="M21" s="571">
        <v>0</v>
      </c>
      <c r="N21" s="571">
        <v>0</v>
      </c>
      <c r="O21" s="571">
        <v>0</v>
      </c>
      <c r="P21" s="571"/>
      <c r="Q21" s="572"/>
      <c r="S21" s="603">
        <f t="shared" si="0"/>
        <v>1</v>
      </c>
      <c r="T21" s="599">
        <f t="shared" si="1"/>
        <v>0</v>
      </c>
    </row>
    <row r="22" spans="1:20" ht="15">
      <c r="A22" s="1213"/>
      <c r="B22" s="564">
        <v>14</v>
      </c>
      <c r="C22" s="605" t="s">
        <v>1028</v>
      </c>
      <c r="D22" s="564" t="s">
        <v>770</v>
      </c>
      <c r="E22" s="696">
        <v>748818</v>
      </c>
      <c r="F22" s="566">
        <v>4</v>
      </c>
      <c r="G22" s="566">
        <v>4.666666666666667</v>
      </c>
      <c r="H22" s="566">
        <v>6</v>
      </c>
      <c r="I22" s="567">
        <v>2.1098184810011325</v>
      </c>
      <c r="J22" s="568">
        <v>1.3360200985041808</v>
      </c>
      <c r="K22" s="571">
        <v>0.33552631578947367</v>
      </c>
      <c r="L22" s="571">
        <v>0.51973684210526316</v>
      </c>
      <c r="M22" s="571">
        <v>9.2105263157894732E-2</v>
      </c>
      <c r="N22" s="571">
        <v>5.2631578947368418E-2</v>
      </c>
      <c r="O22" s="571">
        <v>0</v>
      </c>
      <c r="P22" s="571"/>
      <c r="Q22" s="572"/>
      <c r="S22" s="603">
        <f t="shared" si="0"/>
        <v>0</v>
      </c>
      <c r="T22" s="599">
        <f t="shared" si="1"/>
        <v>1</v>
      </c>
    </row>
    <row r="23" spans="1:20" ht="15">
      <c r="A23" s="1213"/>
      <c r="B23" s="564">
        <v>15</v>
      </c>
      <c r="C23" s="605" t="s">
        <v>1114</v>
      </c>
      <c r="D23" s="564" t="s">
        <v>771</v>
      </c>
      <c r="E23" s="696">
        <v>739680</v>
      </c>
      <c r="F23" s="566">
        <v>5</v>
      </c>
      <c r="G23" s="566">
        <v>5</v>
      </c>
      <c r="H23" s="566">
        <v>5</v>
      </c>
      <c r="I23" s="567">
        <v>2.1445792714936389</v>
      </c>
      <c r="J23" s="568">
        <v>1.4589116551573651</v>
      </c>
      <c r="K23" s="571">
        <v>0.4</v>
      </c>
      <c r="L23" s="571">
        <v>0.5</v>
      </c>
      <c r="M23" s="571">
        <v>0.04</v>
      </c>
      <c r="N23" s="571">
        <v>0.06</v>
      </c>
      <c r="O23" s="571">
        <v>0</v>
      </c>
      <c r="P23" s="571"/>
      <c r="Q23" s="572"/>
      <c r="S23" s="603">
        <f t="shared" si="0"/>
        <v>1</v>
      </c>
      <c r="T23" s="599">
        <f t="shared" si="1"/>
        <v>0</v>
      </c>
    </row>
    <row r="24" spans="1:20" ht="15">
      <c r="A24" s="1213"/>
      <c r="B24" s="564">
        <v>16</v>
      </c>
      <c r="C24" s="605" t="s">
        <v>1116</v>
      </c>
      <c r="D24" s="564" t="s">
        <v>771</v>
      </c>
      <c r="E24" s="696">
        <v>617445</v>
      </c>
      <c r="F24" s="566">
        <v>2</v>
      </c>
      <c r="G24" s="566">
        <v>4</v>
      </c>
      <c r="H24" s="566">
        <v>4.9000000000000004</v>
      </c>
      <c r="I24" s="567">
        <v>2.1445792714936389</v>
      </c>
      <c r="J24" s="568">
        <v>1.4589116551573651</v>
      </c>
      <c r="K24" s="571">
        <v>0.4</v>
      </c>
      <c r="L24" s="571">
        <v>0.5</v>
      </c>
      <c r="M24" s="571">
        <v>0.04</v>
      </c>
      <c r="N24" s="571">
        <v>0.06</v>
      </c>
      <c r="O24" s="571">
        <v>0</v>
      </c>
      <c r="P24" s="571"/>
      <c r="Q24" s="572"/>
      <c r="S24" s="603">
        <f t="shared" si="0"/>
        <v>1</v>
      </c>
      <c r="T24" s="599">
        <f t="shared" si="1"/>
        <v>0</v>
      </c>
    </row>
    <row r="25" spans="1:20" ht="15">
      <c r="A25" s="1213"/>
      <c r="B25" s="564">
        <v>17</v>
      </c>
      <c r="C25" s="605" t="s">
        <v>1055</v>
      </c>
      <c r="D25" s="564" t="s">
        <v>770</v>
      </c>
      <c r="E25" s="696">
        <v>550000</v>
      </c>
      <c r="F25" s="566">
        <v>5</v>
      </c>
      <c r="G25" s="566">
        <v>5</v>
      </c>
      <c r="H25" s="566">
        <v>5</v>
      </c>
      <c r="I25" s="567">
        <v>1.9986022566199177</v>
      </c>
      <c r="J25" s="567">
        <v>1.2252368435607179</v>
      </c>
      <c r="K25" s="567">
        <v>0.4</v>
      </c>
      <c r="L25" s="567">
        <v>0.5</v>
      </c>
      <c r="M25" s="567">
        <v>0.04</v>
      </c>
      <c r="N25" s="567">
        <v>0.06</v>
      </c>
      <c r="O25" s="567">
        <v>0</v>
      </c>
      <c r="P25" s="567"/>
      <c r="Q25" s="692"/>
      <c r="S25" s="603">
        <f t="shared" si="0"/>
        <v>0</v>
      </c>
      <c r="T25" s="599">
        <f t="shared" si="1"/>
        <v>1</v>
      </c>
    </row>
    <row r="26" spans="1:20" ht="15">
      <c r="A26" s="1213"/>
      <c r="B26" s="564">
        <v>18</v>
      </c>
      <c r="C26" s="605" t="s">
        <v>1023</v>
      </c>
      <c r="D26" s="564" t="s">
        <v>770</v>
      </c>
      <c r="E26" s="696">
        <v>519634.99999999994</v>
      </c>
      <c r="F26" s="566">
        <v>5</v>
      </c>
      <c r="G26" s="566">
        <v>5</v>
      </c>
      <c r="H26" s="566">
        <v>5</v>
      </c>
      <c r="I26" s="567">
        <v>2.1747396831740726</v>
      </c>
      <c r="J26" s="567">
        <v>1.3333567987466031</v>
      </c>
      <c r="K26" s="567">
        <v>0.4</v>
      </c>
      <c r="L26" s="567">
        <v>0.5</v>
      </c>
      <c r="M26" s="567">
        <v>0.04</v>
      </c>
      <c r="N26" s="567">
        <v>0.06</v>
      </c>
      <c r="O26" s="567">
        <v>0</v>
      </c>
      <c r="P26" s="567"/>
      <c r="Q26" s="692"/>
      <c r="S26" s="603">
        <f t="shared" si="0"/>
        <v>0</v>
      </c>
      <c r="T26" s="599">
        <f t="shared" si="1"/>
        <v>1</v>
      </c>
    </row>
    <row r="27" spans="1:20" ht="15">
      <c r="A27" s="1213"/>
      <c r="B27" s="564">
        <v>19</v>
      </c>
      <c r="C27" s="605" t="s">
        <v>1029</v>
      </c>
      <c r="D27" s="564" t="s">
        <v>770</v>
      </c>
      <c r="E27" s="696">
        <v>500000</v>
      </c>
      <c r="F27" s="566">
        <v>4</v>
      </c>
      <c r="G27" s="566">
        <v>4</v>
      </c>
      <c r="H27" s="566">
        <v>4</v>
      </c>
      <c r="I27" s="567">
        <v>2.1098184810011325</v>
      </c>
      <c r="J27" s="567">
        <v>1.3360200985041808</v>
      </c>
      <c r="K27" s="567">
        <v>0.4</v>
      </c>
      <c r="L27" s="567">
        <v>0.5</v>
      </c>
      <c r="M27" s="567">
        <v>0.04</v>
      </c>
      <c r="N27" s="567">
        <v>0.06</v>
      </c>
      <c r="O27" s="567">
        <v>0</v>
      </c>
      <c r="P27" s="567"/>
      <c r="Q27" s="692"/>
      <c r="S27" s="603">
        <f t="shared" si="0"/>
        <v>0</v>
      </c>
      <c r="T27" s="599">
        <f t="shared" si="1"/>
        <v>1</v>
      </c>
    </row>
    <row r="28" spans="1:20" ht="15">
      <c r="A28" s="1213"/>
      <c r="B28" s="564">
        <v>20</v>
      </c>
      <c r="C28" s="605" t="s">
        <v>1047</v>
      </c>
      <c r="D28" s="564" t="s">
        <v>770</v>
      </c>
      <c r="E28" s="696">
        <v>364319.99999999994</v>
      </c>
      <c r="F28" s="566">
        <v>5</v>
      </c>
      <c r="G28" s="566">
        <v>5</v>
      </c>
      <c r="H28" s="566">
        <v>5</v>
      </c>
      <c r="I28" s="567">
        <v>2.1445792714936389</v>
      </c>
      <c r="J28" s="567">
        <v>1.4589116551573651</v>
      </c>
      <c r="K28" s="567">
        <v>0.4</v>
      </c>
      <c r="L28" s="567">
        <v>0.5</v>
      </c>
      <c r="M28" s="567">
        <v>0.04</v>
      </c>
      <c r="N28" s="567">
        <v>0.06</v>
      </c>
      <c r="O28" s="567">
        <v>0</v>
      </c>
      <c r="P28" s="567"/>
      <c r="Q28" s="692"/>
      <c r="S28" s="603">
        <f t="shared" si="0"/>
        <v>0</v>
      </c>
      <c r="T28" s="599">
        <f t="shared" si="1"/>
        <v>1</v>
      </c>
    </row>
    <row r="29" spans="1:20" ht="15">
      <c r="A29" s="1213"/>
      <c r="B29" s="564">
        <v>21</v>
      </c>
      <c r="C29" s="605" t="s">
        <v>1050</v>
      </c>
      <c r="D29" s="564" t="s">
        <v>770</v>
      </c>
      <c r="E29" s="696">
        <v>345000</v>
      </c>
      <c r="F29" s="566">
        <v>5</v>
      </c>
      <c r="G29" s="566">
        <v>5</v>
      </c>
      <c r="H29" s="566">
        <v>5</v>
      </c>
      <c r="I29" s="567">
        <v>2.0584434665647966</v>
      </c>
      <c r="J29" s="567">
        <v>1.3209883942842358</v>
      </c>
      <c r="K29" s="567">
        <v>0.4</v>
      </c>
      <c r="L29" s="567">
        <v>0.5</v>
      </c>
      <c r="M29" s="567">
        <v>0.04</v>
      </c>
      <c r="N29" s="567">
        <v>0.06</v>
      </c>
      <c r="O29" s="567">
        <v>0</v>
      </c>
      <c r="P29" s="567"/>
      <c r="Q29" s="692"/>
      <c r="S29" s="603">
        <f t="shared" si="0"/>
        <v>0</v>
      </c>
      <c r="T29" s="599">
        <f t="shared" si="1"/>
        <v>1</v>
      </c>
    </row>
    <row r="30" spans="1:20" ht="15">
      <c r="A30" s="1213"/>
      <c r="B30" s="564">
        <v>22</v>
      </c>
      <c r="C30" s="605" t="s">
        <v>1031</v>
      </c>
      <c r="D30" s="564" t="s">
        <v>770</v>
      </c>
      <c r="E30" s="696">
        <v>244999.99999999997</v>
      </c>
      <c r="F30" s="566">
        <v>4</v>
      </c>
      <c r="G30" s="566">
        <v>4.45</v>
      </c>
      <c r="H30" s="566">
        <v>4.9000000000000004</v>
      </c>
      <c r="I30" s="567">
        <v>1.8860561874586299</v>
      </c>
      <c r="J30" s="567">
        <v>1.3064354950763004</v>
      </c>
      <c r="K30" s="567">
        <v>0.4</v>
      </c>
      <c r="L30" s="567">
        <v>0.5</v>
      </c>
      <c r="M30" s="567">
        <v>0.04</v>
      </c>
      <c r="N30" s="567">
        <v>0.06</v>
      </c>
      <c r="O30" s="567">
        <v>0</v>
      </c>
      <c r="P30" s="567"/>
      <c r="Q30" s="692"/>
      <c r="S30" s="603">
        <f t="shared" si="0"/>
        <v>0</v>
      </c>
      <c r="T30" s="599">
        <f t="shared" si="1"/>
        <v>1</v>
      </c>
    </row>
    <row r="31" spans="1:20" ht="15">
      <c r="A31" s="1213"/>
      <c r="B31" s="564">
        <v>23</v>
      </c>
      <c r="C31" s="605" t="s">
        <v>1041</v>
      </c>
      <c r="D31" s="564" t="s">
        <v>770</v>
      </c>
      <c r="E31" s="696">
        <v>198000</v>
      </c>
      <c r="F31" s="566">
        <v>4.9000000000000004</v>
      </c>
      <c r="G31" s="566">
        <v>4.9000000000000004</v>
      </c>
      <c r="H31" s="566">
        <v>4.9000000000000004</v>
      </c>
      <c r="I31" s="567">
        <v>2.1747396831740726</v>
      </c>
      <c r="J31" s="567">
        <v>1.3333567987466031</v>
      </c>
      <c r="K31" s="567">
        <v>0.4</v>
      </c>
      <c r="L31" s="567">
        <v>0.5</v>
      </c>
      <c r="M31" s="567">
        <v>0.04</v>
      </c>
      <c r="N31" s="567">
        <v>0.06</v>
      </c>
      <c r="O31" s="567">
        <v>0</v>
      </c>
      <c r="P31" s="567"/>
      <c r="Q31" s="692"/>
      <c r="S31" s="603">
        <f t="shared" si="0"/>
        <v>0</v>
      </c>
      <c r="T31" s="599">
        <f t="shared" si="1"/>
        <v>1</v>
      </c>
    </row>
    <row r="32" spans="1:20" ht="15">
      <c r="A32" s="1213"/>
      <c r="B32" s="564">
        <v>24</v>
      </c>
      <c r="C32" s="605" t="s">
        <v>1111</v>
      </c>
      <c r="D32" s="564" t="s">
        <v>771</v>
      </c>
      <c r="E32" s="696">
        <v>157519.45000000001</v>
      </c>
      <c r="F32" s="566">
        <v>2</v>
      </c>
      <c r="G32" s="566">
        <v>3.6333333333333333</v>
      </c>
      <c r="H32" s="566">
        <v>4.9000000000000004</v>
      </c>
      <c r="I32" s="567">
        <v>1.8860561874586299</v>
      </c>
      <c r="J32" s="567">
        <v>1.3064354950763004</v>
      </c>
      <c r="K32" s="567">
        <v>0.4</v>
      </c>
      <c r="L32" s="567">
        <v>0.5</v>
      </c>
      <c r="M32" s="567">
        <v>0.04</v>
      </c>
      <c r="N32" s="567">
        <v>0.06</v>
      </c>
      <c r="O32" s="567">
        <v>0</v>
      </c>
      <c r="P32" s="567"/>
      <c r="Q32" s="692"/>
      <c r="S32" s="603">
        <f t="shared" si="0"/>
        <v>1</v>
      </c>
      <c r="T32" s="599">
        <f t="shared" si="1"/>
        <v>0</v>
      </c>
    </row>
    <row r="33" spans="1:20" ht="15">
      <c r="A33" s="1213"/>
      <c r="B33" s="564">
        <v>25</v>
      </c>
      <c r="C33" s="605" t="s">
        <v>1042</v>
      </c>
      <c r="D33" s="564" t="s">
        <v>770</v>
      </c>
      <c r="E33" s="696">
        <v>128879.54999999999</v>
      </c>
      <c r="F33" s="566">
        <v>2</v>
      </c>
      <c r="G33" s="566">
        <v>3.6333333333333333</v>
      </c>
      <c r="H33" s="566">
        <v>4.9000000000000004</v>
      </c>
      <c r="I33" s="567">
        <v>1.8860561874586299</v>
      </c>
      <c r="J33" s="567">
        <v>1.3064354950763004</v>
      </c>
      <c r="K33" s="567">
        <v>0.4</v>
      </c>
      <c r="L33" s="567">
        <v>0.5</v>
      </c>
      <c r="M33" s="567">
        <v>0.04</v>
      </c>
      <c r="N33" s="567">
        <v>0.06</v>
      </c>
      <c r="O33" s="567">
        <v>0</v>
      </c>
      <c r="P33" s="567"/>
      <c r="Q33" s="692"/>
      <c r="S33" s="603">
        <f t="shared" si="0"/>
        <v>0</v>
      </c>
      <c r="T33" s="599">
        <f t="shared" si="1"/>
        <v>1</v>
      </c>
    </row>
    <row r="34" spans="1:20" ht="15">
      <c r="A34" s="1213"/>
      <c r="B34" s="564">
        <v>26</v>
      </c>
      <c r="C34" s="605" t="s">
        <v>1026</v>
      </c>
      <c r="D34" s="564" t="s">
        <v>770</v>
      </c>
      <c r="E34" s="696">
        <v>113008</v>
      </c>
      <c r="F34" s="695">
        <v>6</v>
      </c>
      <c r="G34" s="695">
        <v>6</v>
      </c>
      <c r="H34" s="695">
        <v>6</v>
      </c>
      <c r="I34" s="693">
        <v>2.1747396831740726</v>
      </c>
      <c r="J34" s="693">
        <v>1.3333567987466031</v>
      </c>
      <c r="K34" s="693">
        <v>0.4</v>
      </c>
      <c r="L34" s="693">
        <v>0.5</v>
      </c>
      <c r="M34" s="693">
        <v>0.04</v>
      </c>
      <c r="N34" s="693">
        <v>0.06</v>
      </c>
      <c r="O34" s="693">
        <v>0</v>
      </c>
      <c r="P34" s="693"/>
      <c r="Q34" s="694"/>
      <c r="S34" s="603">
        <f t="shared" si="0"/>
        <v>0</v>
      </c>
      <c r="T34" s="599">
        <f t="shared" si="1"/>
        <v>1</v>
      </c>
    </row>
    <row r="35" spans="1:20" ht="15">
      <c r="A35" s="1213"/>
      <c r="B35" s="564">
        <v>27</v>
      </c>
      <c r="C35" s="565" t="s">
        <v>1100</v>
      </c>
      <c r="D35" s="564" t="s">
        <v>771</v>
      </c>
      <c r="E35" s="697">
        <v>105000</v>
      </c>
      <c r="F35" s="695">
        <v>4</v>
      </c>
      <c r="G35" s="695">
        <v>4.45</v>
      </c>
      <c r="H35" s="695">
        <v>4.9000000000000004</v>
      </c>
      <c r="I35" s="693">
        <v>1.8860561874586299</v>
      </c>
      <c r="J35" s="693">
        <v>1.3064354950763004</v>
      </c>
      <c r="K35" s="693">
        <v>0.4</v>
      </c>
      <c r="L35" s="693">
        <v>0.5</v>
      </c>
      <c r="M35" s="693">
        <v>0.04</v>
      </c>
      <c r="N35" s="693">
        <v>0.06</v>
      </c>
      <c r="O35" s="693">
        <v>0</v>
      </c>
      <c r="P35" s="693"/>
      <c r="Q35" s="694"/>
      <c r="S35" s="603">
        <f t="shared" si="0"/>
        <v>1</v>
      </c>
      <c r="T35" s="599">
        <f t="shared" si="1"/>
        <v>0</v>
      </c>
    </row>
    <row r="36" spans="1:20" ht="15">
      <c r="A36" s="1213"/>
      <c r="B36" s="564">
        <v>28</v>
      </c>
      <c r="C36" s="565" t="s">
        <v>1088</v>
      </c>
      <c r="D36" s="564" t="s">
        <v>770</v>
      </c>
      <c r="E36" s="697">
        <v>50000</v>
      </c>
      <c r="F36" s="695">
        <v>11</v>
      </c>
      <c r="G36" s="695">
        <v>11</v>
      </c>
      <c r="H36" s="695">
        <v>11</v>
      </c>
      <c r="I36" s="693">
        <v>2.5339182573320693</v>
      </c>
      <c r="J36" s="693">
        <v>1.4830906068478693</v>
      </c>
      <c r="K36" s="693">
        <v>0.4</v>
      </c>
      <c r="L36" s="693">
        <v>0.5</v>
      </c>
      <c r="M36" s="693">
        <v>0.04</v>
      </c>
      <c r="N36" s="693">
        <v>0.06</v>
      </c>
      <c r="O36" s="693">
        <v>0</v>
      </c>
      <c r="P36" s="693"/>
      <c r="Q36" s="694"/>
      <c r="S36" s="603">
        <f t="shared" si="0"/>
        <v>0</v>
      </c>
      <c r="T36" s="599">
        <f t="shared" si="1"/>
        <v>1</v>
      </c>
    </row>
    <row r="37" spans="1:20" ht="15">
      <c r="A37" s="1213"/>
      <c r="B37" s="564">
        <v>29</v>
      </c>
      <c r="C37" s="565" t="s">
        <v>1099</v>
      </c>
      <c r="D37" s="564" t="s">
        <v>771</v>
      </c>
      <c r="E37" s="697">
        <v>15282</v>
      </c>
      <c r="F37" s="695">
        <v>4</v>
      </c>
      <c r="G37" s="695">
        <v>4.666666666666667</v>
      </c>
      <c r="H37" s="695">
        <v>6</v>
      </c>
      <c r="I37" s="693">
        <v>2.1098184810011325</v>
      </c>
      <c r="J37" s="693">
        <v>1.3360200985041808</v>
      </c>
      <c r="K37" s="693">
        <v>0.33552631578947367</v>
      </c>
      <c r="L37" s="693">
        <v>0.51973684210526316</v>
      </c>
      <c r="M37" s="693">
        <v>9.2105263157894732E-2</v>
      </c>
      <c r="N37" s="693">
        <v>5.2631578947368418E-2</v>
      </c>
      <c r="O37" s="693">
        <v>0</v>
      </c>
      <c r="P37" s="693"/>
      <c r="Q37" s="694"/>
      <c r="S37" s="603">
        <f t="shared" si="0"/>
        <v>1</v>
      </c>
      <c r="T37" s="599">
        <f t="shared" si="1"/>
        <v>0</v>
      </c>
    </row>
    <row r="38" spans="1:20" ht="15">
      <c r="A38" s="1213"/>
      <c r="B38" s="564">
        <v>30</v>
      </c>
      <c r="C38" s="565"/>
      <c r="D38" s="564"/>
      <c r="E38" s="697"/>
      <c r="F38" s="695"/>
      <c r="G38" s="695"/>
      <c r="H38" s="695"/>
      <c r="I38" s="693"/>
      <c r="J38" s="693"/>
      <c r="K38" s="693"/>
      <c r="L38" s="693"/>
      <c r="M38" s="693"/>
      <c r="N38" s="693"/>
      <c r="O38" s="693"/>
      <c r="P38" s="693"/>
      <c r="Q38" s="694"/>
      <c r="S38" s="603">
        <f t="shared" si="0"/>
        <v>0</v>
      </c>
      <c r="T38" s="599">
        <f t="shared" si="1"/>
        <v>0</v>
      </c>
    </row>
    <row r="39" spans="1:20" ht="15">
      <c r="A39" s="1213"/>
      <c r="B39" s="564">
        <v>31</v>
      </c>
      <c r="C39" s="565"/>
      <c r="D39" s="564"/>
      <c r="E39" s="696"/>
      <c r="F39" s="566"/>
      <c r="G39" s="566"/>
      <c r="H39" s="566"/>
      <c r="I39" s="567"/>
      <c r="J39" s="567"/>
      <c r="K39" s="567"/>
      <c r="L39" s="567"/>
      <c r="M39" s="567"/>
      <c r="N39" s="567"/>
      <c r="O39" s="567"/>
      <c r="P39" s="567"/>
      <c r="Q39" s="692"/>
      <c r="S39" s="603">
        <f t="shared" si="0"/>
        <v>0</v>
      </c>
      <c r="T39" s="599">
        <f t="shared" si="1"/>
        <v>0</v>
      </c>
    </row>
    <row r="40" spans="1:20" ht="15">
      <c r="A40" s="1213"/>
      <c r="B40" s="564">
        <v>32</v>
      </c>
      <c r="C40" s="565"/>
      <c r="D40" s="564"/>
      <c r="E40" s="696"/>
      <c r="F40" s="566"/>
      <c r="G40" s="566"/>
      <c r="H40" s="566"/>
      <c r="I40" s="567"/>
      <c r="J40" s="567"/>
      <c r="K40" s="567"/>
      <c r="L40" s="567"/>
      <c r="M40" s="567"/>
      <c r="N40" s="567"/>
      <c r="O40" s="567"/>
      <c r="P40" s="567"/>
      <c r="Q40" s="692"/>
      <c r="S40" s="603">
        <f t="shared" si="0"/>
        <v>0</v>
      </c>
      <c r="T40" s="599">
        <f t="shared" si="1"/>
        <v>0</v>
      </c>
    </row>
    <row r="41" spans="1:20" ht="15">
      <c r="A41" s="1213"/>
      <c r="B41" s="564">
        <v>33</v>
      </c>
      <c r="C41" s="565"/>
      <c r="D41" s="564"/>
      <c r="E41" s="696"/>
      <c r="F41" s="566"/>
      <c r="G41" s="566"/>
      <c r="H41" s="566"/>
      <c r="I41" s="567"/>
      <c r="J41" s="567"/>
      <c r="K41" s="567"/>
      <c r="L41" s="567"/>
      <c r="M41" s="567"/>
      <c r="N41" s="567"/>
      <c r="O41" s="567"/>
      <c r="P41" s="567"/>
      <c r="Q41" s="692"/>
      <c r="S41" s="603">
        <f t="shared" si="0"/>
        <v>0</v>
      </c>
      <c r="T41" s="599">
        <f t="shared" si="1"/>
        <v>0</v>
      </c>
    </row>
    <row r="42" spans="1:20" ht="15">
      <c r="A42" s="1213"/>
      <c r="B42" s="564">
        <v>34</v>
      </c>
      <c r="C42" s="565"/>
      <c r="D42" s="564"/>
      <c r="E42" s="696"/>
      <c r="F42" s="566"/>
      <c r="G42" s="566"/>
      <c r="H42" s="566"/>
      <c r="I42" s="567"/>
      <c r="J42" s="567"/>
      <c r="K42" s="567"/>
      <c r="L42" s="567"/>
      <c r="M42" s="567"/>
      <c r="N42" s="567"/>
      <c r="O42" s="567"/>
      <c r="P42" s="567"/>
      <c r="Q42" s="692"/>
      <c r="S42" s="603">
        <f t="shared" si="0"/>
        <v>0</v>
      </c>
      <c r="T42" s="599">
        <f t="shared" si="1"/>
        <v>0</v>
      </c>
    </row>
    <row r="43" spans="1:20" ht="15">
      <c r="A43" s="1213"/>
      <c r="B43" s="564">
        <v>35</v>
      </c>
      <c r="C43" s="565"/>
      <c r="D43" s="564"/>
      <c r="E43" s="696"/>
      <c r="F43" s="566"/>
      <c r="G43" s="566"/>
      <c r="H43" s="566"/>
      <c r="I43" s="567"/>
      <c r="J43" s="567"/>
      <c r="K43" s="567"/>
      <c r="L43" s="567"/>
      <c r="M43" s="567"/>
      <c r="N43" s="567"/>
      <c r="O43" s="567"/>
      <c r="P43" s="567"/>
      <c r="Q43" s="692"/>
      <c r="S43" s="603">
        <f t="shared" si="0"/>
        <v>0</v>
      </c>
      <c r="T43" s="599">
        <f t="shared" si="1"/>
        <v>0</v>
      </c>
    </row>
    <row r="44" spans="1:20" ht="15">
      <c r="A44" s="1213"/>
      <c r="B44" s="564">
        <v>36</v>
      </c>
      <c r="C44" s="565"/>
      <c r="D44" s="564"/>
      <c r="E44" s="696"/>
      <c r="F44" s="566"/>
      <c r="G44" s="566"/>
      <c r="H44" s="566"/>
      <c r="I44" s="567"/>
      <c r="J44" s="567"/>
      <c r="K44" s="567"/>
      <c r="L44" s="567"/>
      <c r="M44" s="567"/>
      <c r="N44" s="567"/>
      <c r="O44" s="567"/>
      <c r="P44" s="567"/>
      <c r="Q44" s="692"/>
      <c r="S44" s="603">
        <f t="shared" si="0"/>
        <v>0</v>
      </c>
      <c r="T44" s="599">
        <f t="shared" si="1"/>
        <v>0</v>
      </c>
    </row>
    <row r="45" spans="1:20" ht="15">
      <c r="A45" s="1213"/>
      <c r="B45" s="564">
        <v>37</v>
      </c>
      <c r="C45" s="565"/>
      <c r="D45" s="564"/>
      <c r="E45" s="696"/>
      <c r="F45" s="566"/>
      <c r="G45" s="566"/>
      <c r="H45" s="566"/>
      <c r="I45" s="567"/>
      <c r="J45" s="567"/>
      <c r="K45" s="567"/>
      <c r="L45" s="567"/>
      <c r="M45" s="567"/>
      <c r="N45" s="567"/>
      <c r="O45" s="567"/>
      <c r="P45" s="567"/>
      <c r="Q45" s="692"/>
      <c r="S45" s="603">
        <f t="shared" si="0"/>
        <v>0</v>
      </c>
      <c r="T45" s="599">
        <f t="shared" si="1"/>
        <v>0</v>
      </c>
    </row>
    <row r="46" spans="1:20" ht="15">
      <c r="A46" s="1213"/>
      <c r="B46" s="564">
        <v>38</v>
      </c>
      <c r="C46" s="565"/>
      <c r="D46" s="564"/>
      <c r="E46" s="696"/>
      <c r="F46" s="566"/>
      <c r="G46" s="566"/>
      <c r="H46" s="566"/>
      <c r="I46" s="567"/>
      <c r="J46" s="567"/>
      <c r="K46" s="567"/>
      <c r="L46" s="567"/>
      <c r="M46" s="567"/>
      <c r="N46" s="567"/>
      <c r="O46" s="567"/>
      <c r="P46" s="567"/>
      <c r="Q46" s="692"/>
      <c r="S46" s="603">
        <f t="shared" si="0"/>
        <v>0</v>
      </c>
      <c r="T46" s="599">
        <f t="shared" si="1"/>
        <v>0</v>
      </c>
    </row>
    <row r="47" spans="1:20" ht="15">
      <c r="A47" s="1213"/>
      <c r="B47" s="564">
        <v>39</v>
      </c>
      <c r="C47" s="565"/>
      <c r="D47" s="564"/>
      <c r="E47" s="696"/>
      <c r="F47" s="566"/>
      <c r="G47" s="566"/>
      <c r="H47" s="566"/>
      <c r="I47" s="567"/>
      <c r="J47" s="567"/>
      <c r="K47" s="567"/>
      <c r="L47" s="567"/>
      <c r="M47" s="567"/>
      <c r="N47" s="567"/>
      <c r="O47" s="567"/>
      <c r="P47" s="567"/>
      <c r="Q47" s="692"/>
      <c r="S47" s="603">
        <f t="shared" si="0"/>
        <v>0</v>
      </c>
      <c r="T47" s="599">
        <f t="shared" si="1"/>
        <v>0</v>
      </c>
    </row>
    <row r="48" spans="1:20" ht="15.75" thickBot="1">
      <c r="A48" s="1213"/>
      <c r="B48" s="564">
        <v>40</v>
      </c>
      <c r="C48" s="565"/>
      <c r="D48" s="564"/>
      <c r="E48" s="696"/>
      <c r="F48" s="566"/>
      <c r="G48" s="566"/>
      <c r="H48" s="566"/>
      <c r="I48" s="567"/>
      <c r="J48" s="567"/>
      <c r="K48" s="567"/>
      <c r="L48" s="567"/>
      <c r="M48" s="567"/>
      <c r="N48" s="567"/>
      <c r="O48" s="567"/>
      <c r="P48" s="567"/>
      <c r="Q48" s="692"/>
      <c r="S48" s="604">
        <f t="shared" si="0"/>
        <v>0</v>
      </c>
      <c r="T48" s="600">
        <f t="shared" si="1"/>
        <v>0</v>
      </c>
    </row>
    <row r="49" spans="1:20" ht="15.75" thickBot="1">
      <c r="A49" s="1213"/>
      <c r="B49" s="576"/>
      <c r="C49" s="576"/>
      <c r="D49" s="576"/>
      <c r="E49" s="576"/>
      <c r="F49" s="576"/>
      <c r="G49" s="576"/>
      <c r="H49" s="576"/>
      <c r="I49" s="576"/>
      <c r="J49" s="576"/>
      <c r="K49" s="576"/>
      <c r="L49" s="576"/>
      <c r="M49" s="576"/>
      <c r="N49" s="576"/>
      <c r="O49" s="576"/>
      <c r="P49" s="576"/>
      <c r="Q49" s="576"/>
    </row>
    <row r="50" spans="1:20" ht="15">
      <c r="A50" s="1213"/>
      <c r="B50" s="613"/>
      <c r="C50" s="614"/>
      <c r="D50" s="617" t="s">
        <v>968</v>
      </c>
      <c r="E50" s="577">
        <f>SUMPRODUCT(T9:T48,E9:E48)</f>
        <v>60770674.524999999</v>
      </c>
      <c r="F50" s="578"/>
      <c r="G50" s="578"/>
      <c r="H50" s="578"/>
      <c r="I50" s="578"/>
      <c r="J50" s="578"/>
      <c r="K50" s="578"/>
      <c r="L50" s="578"/>
      <c r="M50" s="578"/>
      <c r="N50" s="578"/>
      <c r="O50" s="578"/>
      <c r="P50" s="581"/>
      <c r="Q50" s="582"/>
      <c r="S50" s="606">
        <f>SUM(S9:S48)</f>
        <v>8</v>
      </c>
      <c r="T50" s="606">
        <f>SUM(T9:T48)</f>
        <v>21</v>
      </c>
    </row>
    <row r="51" spans="1:20" ht="15.75" thickBot="1">
      <c r="A51" s="1213"/>
      <c r="B51" s="615"/>
      <c r="C51" s="616"/>
      <c r="D51" s="618" t="s">
        <v>969</v>
      </c>
      <c r="E51" s="583"/>
      <c r="F51" s="584">
        <f>IF($T50=0,0,(SUMPRODUCT($T9:$T48,F9:F48,$E9:$E48)/$E50))</f>
        <v>4.0219130474593001</v>
      </c>
      <c r="G51" s="584">
        <f t="shared" ref="G51" si="2">IF($T50=0,0,(SUMPRODUCT($T9:$T48,G9:G48,$E9:$E48)/$E50))</f>
        <v>4.7113845278923492</v>
      </c>
      <c r="H51" s="584">
        <f t="shared" ref="H51:O51" si="3">IF($T50=0,0,(SUMPRODUCT($T9:$T48,H9:H48,$E9:$E48)/$E50))</f>
        <v>5.1332991185027499</v>
      </c>
      <c r="I51" s="584">
        <f t="shared" si="3"/>
        <v>2.101246957709392</v>
      </c>
      <c r="J51" s="584">
        <f t="shared" si="3"/>
        <v>1.3496415359840415</v>
      </c>
      <c r="K51" s="585">
        <f t="shared" si="3"/>
        <v>0.41992693384680446</v>
      </c>
      <c r="L51" s="585">
        <f t="shared" si="3"/>
        <v>0.495008083388711</v>
      </c>
      <c r="M51" s="585">
        <f t="shared" si="3"/>
        <v>6.0623365667447825E-2</v>
      </c>
      <c r="N51" s="585">
        <f t="shared" si="3"/>
        <v>2.4441617097036714E-2</v>
      </c>
      <c r="O51" s="585">
        <f t="shared" si="3"/>
        <v>0</v>
      </c>
      <c r="P51" s="587">
        <f t="shared" ref="P51:Q51" si="4">IF($T50=0,0,(SUMPRODUCT($T9:$T48,P9:P48,$E9:$E48)/$E50))</f>
        <v>0</v>
      </c>
      <c r="Q51" s="588">
        <f t="shared" si="4"/>
        <v>0</v>
      </c>
    </row>
    <row r="52" spans="1:20" ht="15">
      <c r="A52" s="1213"/>
      <c r="B52" s="613"/>
      <c r="C52" s="614"/>
      <c r="D52" s="617" t="s">
        <v>970</v>
      </c>
      <c r="E52" s="577">
        <f>SUMPRODUCT(S9:S48,E9:E48)</f>
        <v>7702476.4500000002</v>
      </c>
      <c r="F52" s="578"/>
      <c r="G52" s="578"/>
      <c r="H52" s="578"/>
      <c r="I52" s="578"/>
      <c r="J52" s="578"/>
      <c r="K52" s="579"/>
      <c r="L52" s="579"/>
      <c r="M52" s="579"/>
      <c r="N52" s="579"/>
      <c r="O52" s="579"/>
      <c r="P52" s="581"/>
      <c r="Q52" s="582"/>
    </row>
    <row r="53" spans="1:20" ht="15.75" thickBot="1">
      <c r="A53" s="1213"/>
      <c r="B53" s="615"/>
      <c r="C53" s="616"/>
      <c r="D53" s="618" t="s">
        <v>971</v>
      </c>
      <c r="E53" s="583"/>
      <c r="F53" s="584">
        <f>IF($S50=0,0,(SUMPRODUCT($S9:$S48,F9:F48,$E9:$E48)/$E52))</f>
        <v>4.2543254903427838</v>
      </c>
      <c r="G53" s="584">
        <f t="shared" ref="G53" si="5">IF($S50=0,0,(SUMPRODUCT($S9:$S48,G9:G48,$E9:$E48)/$E52))</f>
        <v>4.9831782783315095</v>
      </c>
      <c r="H53" s="584">
        <f t="shared" ref="H53:O53" si="6">IF($S50=0,0,(SUMPRODUCT($S9:$S48,H9:H48,$E9:$E48)/$E52))</f>
        <v>5.533601833342833</v>
      </c>
      <c r="I53" s="584">
        <f t="shared" si="6"/>
        <v>2.0783851925461359</v>
      </c>
      <c r="J53" s="584">
        <f t="shared" si="6"/>
        <v>1.3616981458388269</v>
      </c>
      <c r="K53" s="585">
        <f t="shared" si="6"/>
        <v>0.44978425277580253</v>
      </c>
      <c r="L53" s="585">
        <f t="shared" si="6"/>
        <v>0.48137306084845272</v>
      </c>
      <c r="M53" s="585">
        <f t="shared" si="6"/>
        <v>5.6121714954991658E-2</v>
      </c>
      <c r="N53" s="585">
        <f t="shared" si="6"/>
        <v>1.2720971420753084E-2</v>
      </c>
      <c r="O53" s="585">
        <f t="shared" si="6"/>
        <v>0</v>
      </c>
      <c r="P53" s="587">
        <f t="shared" ref="P53:Q53" si="7">IF($S50=0,0,(SUMPRODUCT($S9:$S48,P9:P48,$E9:$E48)/$E52))</f>
        <v>0</v>
      </c>
      <c r="Q53" s="588">
        <f t="shared" si="7"/>
        <v>0</v>
      </c>
    </row>
    <row r="54" spans="1:20" ht="15">
      <c r="A54" s="1213"/>
      <c r="B54" s="613"/>
      <c r="C54" s="614"/>
      <c r="D54" s="617" t="s">
        <v>972</v>
      </c>
      <c r="E54" s="577">
        <f>SUM(E9:E48)</f>
        <v>68473150.974999994</v>
      </c>
      <c r="F54" s="578"/>
      <c r="G54" s="578"/>
      <c r="H54" s="578"/>
      <c r="I54" s="578"/>
      <c r="J54" s="578"/>
      <c r="K54" s="579"/>
      <c r="L54" s="579"/>
      <c r="M54" s="579"/>
      <c r="N54" s="579"/>
      <c r="O54" s="579"/>
      <c r="P54" s="581"/>
      <c r="Q54" s="582"/>
    </row>
    <row r="55" spans="1:20" ht="15.75" thickBot="1">
      <c r="A55" s="1213"/>
      <c r="B55" s="615"/>
      <c r="C55" s="616"/>
      <c r="D55" s="618" t="s">
        <v>973</v>
      </c>
      <c r="E55" s="583"/>
      <c r="F55" s="584">
        <f>SUMPRODUCT($E9:$E48,F9:F48)/$E54</f>
        <v>4.0480568913237462</v>
      </c>
      <c r="G55" s="584">
        <f t="shared" ref="G55" si="8">SUMPRODUCT($E9:$E48,G9:G48)/$E54</f>
        <v>4.7419583357601827</v>
      </c>
      <c r="H55" s="584">
        <f t="shared" ref="H55:O55" si="9">SUMPRODUCT($E9:$E48,H9:H48)/$E54</f>
        <v>5.1783287715860817</v>
      </c>
      <c r="I55" s="584">
        <f t="shared" si="9"/>
        <v>2.0986752605511918</v>
      </c>
      <c r="J55" s="584">
        <f t="shared" si="9"/>
        <v>1.3509977719999251</v>
      </c>
      <c r="K55" s="801">
        <f t="shared" si="9"/>
        <v>0.42328555386992439</v>
      </c>
      <c r="L55" s="801">
        <f t="shared" si="9"/>
        <v>0.49347429330433318</v>
      </c>
      <c r="M55" s="801">
        <f t="shared" si="9"/>
        <v>6.0116979469279748E-2</v>
      </c>
      <c r="N55" s="801">
        <f t="shared" si="9"/>
        <v>2.312317335646269E-2</v>
      </c>
      <c r="O55" s="801">
        <f t="shared" si="9"/>
        <v>0</v>
      </c>
      <c r="P55" s="587">
        <f t="shared" ref="P55:Q55" si="10">SUMPRODUCT($E9:$E48,P9:P48)/$E54</f>
        <v>0</v>
      </c>
      <c r="Q55" s="588">
        <f t="shared" si="10"/>
        <v>0</v>
      </c>
    </row>
    <row r="56" spans="1:20" ht="15">
      <c r="A56" s="557"/>
      <c r="B56" s="557"/>
      <c r="C56" s="557"/>
      <c r="D56" s="557"/>
      <c r="E56" s="557"/>
      <c r="F56" s="557"/>
      <c r="G56" s="557"/>
      <c r="H56" s="557"/>
      <c r="I56" s="557"/>
      <c r="J56" s="590"/>
      <c r="K56" s="557"/>
      <c r="L56" s="557"/>
      <c r="M56" s="557"/>
      <c r="N56" s="557"/>
      <c r="O56" s="557"/>
      <c r="P56" s="557"/>
      <c r="Q56" s="557"/>
    </row>
    <row r="57" spans="1:20" ht="15">
      <c r="A57" s="591"/>
      <c r="B57" s="554"/>
      <c r="C57" s="591"/>
      <c r="D57" s="591"/>
      <c r="E57" s="591"/>
      <c r="F57" s="591"/>
      <c r="G57" s="591"/>
      <c r="H57" s="591"/>
      <c r="I57" s="591"/>
      <c r="J57" s="591"/>
      <c r="K57" s="554"/>
      <c r="L57" s="591"/>
      <c r="M57" s="591"/>
      <c r="N57" s="591"/>
      <c r="O57" s="591"/>
      <c r="P57" s="591"/>
      <c r="Q57" s="591"/>
      <c r="R57" s="592"/>
    </row>
    <row r="58" spans="1:20" ht="15">
      <c r="A58" s="557"/>
      <c r="B58" s="799" t="s">
        <v>1173</v>
      </c>
      <c r="C58" s="800" t="s">
        <v>1177</v>
      </c>
      <c r="D58" s="557"/>
      <c r="E58" s="557"/>
      <c r="F58" s="557"/>
      <c r="G58" s="557"/>
      <c r="H58" s="557"/>
      <c r="I58" s="557"/>
      <c r="J58" s="557"/>
      <c r="K58" s="557"/>
      <c r="L58" s="557"/>
      <c r="M58" s="557"/>
      <c r="N58" s="557"/>
      <c r="O58" s="557"/>
      <c r="P58" s="557"/>
      <c r="Q58" s="557"/>
    </row>
    <row r="59" spans="1:20" ht="15" customHeight="1" thickBot="1">
      <c r="A59" s="557"/>
      <c r="B59" s="799" t="s">
        <v>1174</v>
      </c>
      <c r="C59" s="800" t="s">
        <v>1178</v>
      </c>
      <c r="D59" s="557"/>
      <c r="E59" s="557"/>
      <c r="F59" s="608"/>
      <c r="G59" s="609" t="s">
        <v>173</v>
      </c>
      <c r="H59" s="609"/>
      <c r="I59" s="557"/>
      <c r="J59" s="557"/>
      <c r="K59" s="610"/>
      <c r="L59" s="611"/>
      <c r="M59" s="611" t="s">
        <v>954</v>
      </c>
      <c r="N59" s="611"/>
      <c r="O59" s="611"/>
      <c r="P59" s="611"/>
      <c r="Q59" s="612"/>
    </row>
    <row r="60" spans="1:20" ht="60" customHeight="1" thickBot="1">
      <c r="A60" s="1213" t="s">
        <v>1225</v>
      </c>
      <c r="B60" s="558" t="s">
        <v>955</v>
      </c>
      <c r="C60" s="559" t="s">
        <v>104</v>
      </c>
      <c r="D60" s="558" t="s">
        <v>769</v>
      </c>
      <c r="E60" s="558" t="s">
        <v>255</v>
      </c>
      <c r="F60" s="560" t="s">
        <v>956</v>
      </c>
      <c r="G60" s="560" t="s">
        <v>957</v>
      </c>
      <c r="H60" s="560" t="s">
        <v>958</v>
      </c>
      <c r="I60" s="561" t="s">
        <v>959</v>
      </c>
      <c r="J60" s="562" t="s">
        <v>960</v>
      </c>
      <c r="K60" s="562" t="s">
        <v>961</v>
      </c>
      <c r="L60" s="562" t="s">
        <v>962</v>
      </c>
      <c r="M60" s="562" t="s">
        <v>963</v>
      </c>
      <c r="N60" s="562" t="s">
        <v>964</v>
      </c>
      <c r="O60" s="562" t="s">
        <v>965</v>
      </c>
      <c r="P60" s="562" t="s">
        <v>966</v>
      </c>
      <c r="Q60" s="563" t="s">
        <v>967</v>
      </c>
      <c r="S60" s="602" t="s">
        <v>771</v>
      </c>
      <c r="T60" s="601" t="s">
        <v>770</v>
      </c>
    </row>
    <row r="61" spans="1:20" ht="15">
      <c r="A61" s="1213"/>
      <c r="B61" s="564">
        <v>1</v>
      </c>
      <c r="C61" s="565" t="s">
        <v>1043</v>
      </c>
      <c r="D61" s="564" t="s">
        <v>770</v>
      </c>
      <c r="E61" s="696">
        <v>15464294.399999999</v>
      </c>
      <c r="F61" s="566">
        <v>4</v>
      </c>
      <c r="G61" s="566">
        <v>4</v>
      </c>
      <c r="H61" s="566">
        <v>4</v>
      </c>
      <c r="I61" s="567">
        <v>1.8860561874586299</v>
      </c>
      <c r="J61" s="568">
        <v>1.3064354950763004</v>
      </c>
      <c r="K61" s="569">
        <v>0.125</v>
      </c>
      <c r="L61" s="569">
        <v>0.45833333333333331</v>
      </c>
      <c r="M61" s="569">
        <v>0.16666666666666666</v>
      </c>
      <c r="N61" s="569">
        <v>0.25</v>
      </c>
      <c r="O61" s="569">
        <v>0</v>
      </c>
      <c r="P61" s="569"/>
      <c r="Q61" s="570"/>
      <c r="S61" s="603">
        <f>IF(D61="Commercial",1,0)</f>
        <v>0</v>
      </c>
      <c r="T61" s="599">
        <f>IF(D61="Residential",1,0)</f>
        <v>1</v>
      </c>
    </row>
    <row r="62" spans="1:20" ht="15">
      <c r="A62" s="1213"/>
      <c r="B62" s="564">
        <v>2</v>
      </c>
      <c r="C62" s="565" t="s">
        <v>1070</v>
      </c>
      <c r="D62" s="564" t="s">
        <v>770</v>
      </c>
      <c r="E62" s="696">
        <v>9132620</v>
      </c>
      <c r="F62" s="566">
        <v>5</v>
      </c>
      <c r="G62" s="566">
        <v>5</v>
      </c>
      <c r="H62" s="566">
        <v>5</v>
      </c>
      <c r="I62" s="567">
        <v>2.1382274410872029</v>
      </c>
      <c r="J62" s="568">
        <v>1.2579324779507752</v>
      </c>
      <c r="K62" s="571">
        <v>0.2857142857142857</v>
      </c>
      <c r="L62" s="571">
        <v>0.5714285714285714</v>
      </c>
      <c r="M62" s="571">
        <v>0.14285714285714285</v>
      </c>
      <c r="N62" s="571">
        <v>0</v>
      </c>
      <c r="O62" s="571">
        <v>0</v>
      </c>
      <c r="P62" s="571"/>
      <c r="Q62" s="572"/>
      <c r="S62" s="603">
        <f t="shared" ref="S62:S100" si="11">IF(D62="Commercial",1,0)</f>
        <v>0</v>
      </c>
      <c r="T62" s="599">
        <f t="shared" ref="T62:T100" si="12">IF(D62="Residential",1,0)</f>
        <v>1</v>
      </c>
    </row>
    <row r="63" spans="1:20" ht="15">
      <c r="A63" s="1213"/>
      <c r="B63" s="564">
        <v>3</v>
      </c>
      <c r="C63" s="565" t="s">
        <v>1027</v>
      </c>
      <c r="D63" s="564" t="s">
        <v>770</v>
      </c>
      <c r="E63" s="696">
        <v>7853150</v>
      </c>
      <c r="F63" s="566">
        <v>4</v>
      </c>
      <c r="G63" s="566">
        <v>4</v>
      </c>
      <c r="H63" s="566">
        <v>4</v>
      </c>
      <c r="I63" s="567">
        <v>2.1098184810011325</v>
      </c>
      <c r="J63" s="568">
        <v>1.3360200985041808</v>
      </c>
      <c r="K63" s="571">
        <v>0.21153846153846154</v>
      </c>
      <c r="L63" s="571">
        <v>0.55769230769230771</v>
      </c>
      <c r="M63" s="571">
        <v>0.19230769230769232</v>
      </c>
      <c r="N63" s="571">
        <v>3.8461538461538464E-2</v>
      </c>
      <c r="O63" s="571">
        <v>0</v>
      </c>
      <c r="P63" s="571"/>
      <c r="Q63" s="572"/>
      <c r="S63" s="603">
        <f t="shared" si="11"/>
        <v>0</v>
      </c>
      <c r="T63" s="599">
        <f t="shared" si="12"/>
        <v>1</v>
      </c>
    </row>
    <row r="64" spans="1:20" ht="15">
      <c r="A64" s="1213"/>
      <c r="B64" s="564">
        <v>4</v>
      </c>
      <c r="C64" s="565" t="s">
        <v>1033</v>
      </c>
      <c r="D64" s="564" t="s">
        <v>770</v>
      </c>
      <c r="E64" s="696">
        <v>6302424.051</v>
      </c>
      <c r="F64" s="566">
        <v>4</v>
      </c>
      <c r="G64" s="566">
        <v>4</v>
      </c>
      <c r="H64" s="566">
        <v>4</v>
      </c>
      <c r="I64" s="567">
        <v>1.8860561874586299</v>
      </c>
      <c r="J64" s="568">
        <v>1.3064354950763004</v>
      </c>
      <c r="K64" s="571">
        <v>0.21153846153846154</v>
      </c>
      <c r="L64" s="571">
        <v>0.55769230769230771</v>
      </c>
      <c r="M64" s="571">
        <v>0.19230769230769232</v>
      </c>
      <c r="N64" s="571">
        <v>3.8461538461538464E-2</v>
      </c>
      <c r="O64" s="571">
        <v>0</v>
      </c>
      <c r="P64" s="571"/>
      <c r="Q64" s="572"/>
      <c r="S64" s="603">
        <f t="shared" si="11"/>
        <v>0</v>
      </c>
      <c r="T64" s="599">
        <f t="shared" si="12"/>
        <v>1</v>
      </c>
    </row>
    <row r="65" spans="1:20" ht="15">
      <c r="A65" s="1213"/>
      <c r="B65" s="564">
        <v>5</v>
      </c>
      <c r="C65" s="565" t="s">
        <v>1053</v>
      </c>
      <c r="D65" s="564" t="s">
        <v>770</v>
      </c>
      <c r="E65" s="696">
        <v>5919000</v>
      </c>
      <c r="F65" s="566">
        <v>5</v>
      </c>
      <c r="G65" s="566">
        <v>5</v>
      </c>
      <c r="H65" s="566">
        <v>5</v>
      </c>
      <c r="I65" s="567">
        <v>2.0584434665647966</v>
      </c>
      <c r="J65" s="568">
        <v>1.3209883942842358</v>
      </c>
      <c r="K65" s="571">
        <v>0.14285714285714285</v>
      </c>
      <c r="L65" s="571">
        <v>0.5714285714285714</v>
      </c>
      <c r="M65" s="571">
        <v>0.14285714285714285</v>
      </c>
      <c r="N65" s="571">
        <v>0.14285714285714285</v>
      </c>
      <c r="O65" s="571">
        <v>0</v>
      </c>
      <c r="P65" s="571"/>
      <c r="Q65" s="572"/>
      <c r="S65" s="603">
        <f t="shared" si="11"/>
        <v>0</v>
      </c>
      <c r="T65" s="599">
        <f t="shared" si="12"/>
        <v>1</v>
      </c>
    </row>
    <row r="66" spans="1:20" ht="15">
      <c r="A66" s="1213"/>
      <c r="B66" s="564">
        <v>6</v>
      </c>
      <c r="C66" s="565" t="s">
        <v>1071</v>
      </c>
      <c r="D66" s="564" t="s">
        <v>770</v>
      </c>
      <c r="E66" s="696">
        <v>3702700.0211804989</v>
      </c>
      <c r="F66" s="566">
        <v>4</v>
      </c>
      <c r="G66" s="566">
        <v>4</v>
      </c>
      <c r="H66" s="566">
        <v>4</v>
      </c>
      <c r="I66" s="567">
        <v>2.1747396831740726</v>
      </c>
      <c r="J66" s="568">
        <v>1.3333567987466031</v>
      </c>
      <c r="K66" s="571">
        <v>0.21428571428571427</v>
      </c>
      <c r="L66" s="571">
        <v>0.3571428571428571</v>
      </c>
      <c r="M66" s="571">
        <v>0.2857142857142857</v>
      </c>
      <c r="N66" s="571">
        <v>0.14285714285714285</v>
      </c>
      <c r="O66" s="571">
        <v>0</v>
      </c>
      <c r="P66" s="571"/>
      <c r="Q66" s="572"/>
      <c r="S66" s="603">
        <f t="shared" si="11"/>
        <v>0</v>
      </c>
      <c r="T66" s="599">
        <f t="shared" si="12"/>
        <v>1</v>
      </c>
    </row>
    <row r="67" spans="1:20" ht="15">
      <c r="A67" s="1213"/>
      <c r="B67" s="564">
        <v>7</v>
      </c>
      <c r="C67" s="565" t="s">
        <v>1072</v>
      </c>
      <c r="D67" s="564" t="s">
        <v>770</v>
      </c>
      <c r="E67" s="696">
        <v>3496248</v>
      </c>
      <c r="F67" s="566">
        <v>6.8</v>
      </c>
      <c r="G67" s="566">
        <v>6.8</v>
      </c>
      <c r="H67" s="566">
        <v>6.8</v>
      </c>
      <c r="I67" s="567">
        <v>2.1747396831740726</v>
      </c>
      <c r="J67" s="568">
        <v>1.3333567987466031</v>
      </c>
      <c r="K67" s="571">
        <v>0.21153846153846154</v>
      </c>
      <c r="L67" s="571">
        <v>0.55769230769230771</v>
      </c>
      <c r="M67" s="571">
        <v>0.19230769230769232</v>
      </c>
      <c r="N67" s="571">
        <v>3.8461538461538464E-2</v>
      </c>
      <c r="O67" s="571">
        <v>0</v>
      </c>
      <c r="P67" s="571"/>
      <c r="Q67" s="572"/>
      <c r="S67" s="603">
        <f t="shared" si="11"/>
        <v>0</v>
      </c>
      <c r="T67" s="599">
        <f t="shared" si="12"/>
        <v>1</v>
      </c>
    </row>
    <row r="68" spans="1:20" ht="15">
      <c r="A68" s="1213"/>
      <c r="B68" s="564">
        <v>8</v>
      </c>
      <c r="C68" s="565" t="s">
        <v>1112</v>
      </c>
      <c r="D68" s="564" t="s">
        <v>771</v>
      </c>
      <c r="E68" s="696">
        <v>3167385.6000000001</v>
      </c>
      <c r="F68" s="566">
        <v>4</v>
      </c>
      <c r="G68" s="566">
        <v>4</v>
      </c>
      <c r="H68" s="566">
        <v>4</v>
      </c>
      <c r="I68" s="567">
        <v>1.8860561874586299</v>
      </c>
      <c r="J68" s="568">
        <v>1.3064354950763004</v>
      </c>
      <c r="K68" s="571">
        <v>0.125</v>
      </c>
      <c r="L68" s="571">
        <v>0.45833333333333331</v>
      </c>
      <c r="M68" s="571">
        <v>0.16666666666666666</v>
      </c>
      <c r="N68" s="571">
        <v>0.25</v>
      </c>
      <c r="O68" s="571">
        <v>0</v>
      </c>
      <c r="P68" s="571"/>
      <c r="Q68" s="572"/>
      <c r="S68" s="603">
        <f t="shared" si="11"/>
        <v>1</v>
      </c>
      <c r="T68" s="599">
        <f t="shared" si="12"/>
        <v>0</v>
      </c>
    </row>
    <row r="69" spans="1:20" ht="15">
      <c r="A69" s="1213"/>
      <c r="B69" s="564">
        <v>9</v>
      </c>
      <c r="C69" s="565" t="s">
        <v>1104</v>
      </c>
      <c r="D69" s="564" t="s">
        <v>771</v>
      </c>
      <c r="E69" s="696">
        <v>2623118.0853999997</v>
      </c>
      <c r="F69" s="566">
        <v>5</v>
      </c>
      <c r="G69" s="566">
        <v>5</v>
      </c>
      <c r="H69" s="566">
        <v>5</v>
      </c>
      <c r="I69" s="567">
        <v>1.8860561874586299</v>
      </c>
      <c r="J69" s="568">
        <v>1.3064354950763004</v>
      </c>
      <c r="K69" s="571">
        <v>0.21153846153846154</v>
      </c>
      <c r="L69" s="571">
        <v>0.55769230769230771</v>
      </c>
      <c r="M69" s="571">
        <v>0.19230769230769232</v>
      </c>
      <c r="N69" s="571">
        <v>3.8461538461538464E-2</v>
      </c>
      <c r="O69" s="571">
        <v>0</v>
      </c>
      <c r="P69" s="571"/>
      <c r="Q69" s="572"/>
      <c r="S69" s="603">
        <f t="shared" si="11"/>
        <v>1</v>
      </c>
      <c r="T69" s="599">
        <f t="shared" si="12"/>
        <v>0</v>
      </c>
    </row>
    <row r="70" spans="1:20" ht="15">
      <c r="A70" s="1213"/>
      <c r="B70" s="564">
        <v>10</v>
      </c>
      <c r="C70" s="565" t="s">
        <v>1038</v>
      </c>
      <c r="D70" s="564" t="s">
        <v>770</v>
      </c>
      <c r="E70" s="696">
        <v>1986603.1487999998</v>
      </c>
      <c r="F70" s="566">
        <v>4</v>
      </c>
      <c r="G70" s="566">
        <v>4</v>
      </c>
      <c r="H70" s="566">
        <v>4</v>
      </c>
      <c r="I70" s="567">
        <v>1.9881186723518185</v>
      </c>
      <c r="J70" s="568">
        <v>1.3088126773682838</v>
      </c>
      <c r="K70" s="571">
        <v>0.21153846153846154</v>
      </c>
      <c r="L70" s="571">
        <v>0.55769230769230771</v>
      </c>
      <c r="M70" s="571">
        <v>0.19230769230769232</v>
      </c>
      <c r="N70" s="571">
        <v>3.8461538461538464E-2</v>
      </c>
      <c r="O70" s="571">
        <v>0</v>
      </c>
      <c r="P70" s="571"/>
      <c r="Q70" s="572"/>
      <c r="S70" s="603">
        <f t="shared" si="11"/>
        <v>0</v>
      </c>
      <c r="T70" s="599">
        <f t="shared" si="12"/>
        <v>1</v>
      </c>
    </row>
    <row r="71" spans="1:20" ht="15">
      <c r="A71" s="1213"/>
      <c r="B71" s="564">
        <v>11</v>
      </c>
      <c r="C71" s="565" t="s">
        <v>1068</v>
      </c>
      <c r="D71" s="564" t="s">
        <v>770</v>
      </c>
      <c r="E71" s="696">
        <v>1566750</v>
      </c>
      <c r="F71" s="566">
        <v>3.7</v>
      </c>
      <c r="G71" s="566">
        <v>4.8999999999999995</v>
      </c>
      <c r="H71" s="566">
        <v>6</v>
      </c>
      <c r="I71" s="567">
        <v>2.1382274410872029</v>
      </c>
      <c r="J71" s="568">
        <v>1.2579324779507752</v>
      </c>
      <c r="K71" s="571">
        <v>0.21153846153846154</v>
      </c>
      <c r="L71" s="571">
        <v>0.55769230769230771</v>
      </c>
      <c r="M71" s="571">
        <v>0.19230769230769232</v>
      </c>
      <c r="N71" s="571">
        <v>3.8461538461538464E-2</v>
      </c>
      <c r="O71" s="571">
        <v>0</v>
      </c>
      <c r="P71" s="571"/>
      <c r="Q71" s="572"/>
      <c r="S71" s="603">
        <f t="shared" si="11"/>
        <v>0</v>
      </c>
      <c r="T71" s="599">
        <f t="shared" si="12"/>
        <v>1</v>
      </c>
    </row>
    <row r="72" spans="1:20" ht="15">
      <c r="A72" s="1213"/>
      <c r="B72" s="564">
        <v>12</v>
      </c>
      <c r="C72" s="565" t="s">
        <v>1024</v>
      </c>
      <c r="D72" s="564" t="s">
        <v>770</v>
      </c>
      <c r="E72" s="696">
        <v>1520732.5119999999</v>
      </c>
      <c r="F72" s="566">
        <v>5</v>
      </c>
      <c r="G72" s="566">
        <v>5</v>
      </c>
      <c r="H72" s="566">
        <v>5</v>
      </c>
      <c r="I72" s="567">
        <v>1.8860561874586299</v>
      </c>
      <c r="J72" s="568">
        <v>1.3064354950763004</v>
      </c>
      <c r="K72" s="571">
        <v>0.21153846153846154</v>
      </c>
      <c r="L72" s="571">
        <v>0.55769230769230771</v>
      </c>
      <c r="M72" s="571">
        <v>0.19230769230769232</v>
      </c>
      <c r="N72" s="571">
        <v>3.8461538461538464E-2</v>
      </c>
      <c r="O72" s="571">
        <v>0</v>
      </c>
      <c r="P72" s="571"/>
      <c r="Q72" s="572"/>
      <c r="S72" s="603">
        <f t="shared" si="11"/>
        <v>0</v>
      </c>
      <c r="T72" s="599">
        <f t="shared" si="12"/>
        <v>1</v>
      </c>
    </row>
    <row r="73" spans="1:20" ht="15">
      <c r="A73" s="1213"/>
      <c r="B73" s="564">
        <v>13</v>
      </c>
      <c r="C73" s="565" t="s">
        <v>1034</v>
      </c>
      <c r="D73" s="564" t="s">
        <v>770</v>
      </c>
      <c r="E73" s="696">
        <v>1291983.5345999997</v>
      </c>
      <c r="F73" s="566">
        <v>5</v>
      </c>
      <c r="G73" s="566">
        <v>5</v>
      </c>
      <c r="H73" s="566">
        <v>5</v>
      </c>
      <c r="I73" s="567">
        <v>1.8860561874586299</v>
      </c>
      <c r="J73" s="568">
        <v>1.3064354950763004</v>
      </c>
      <c r="K73" s="571">
        <v>0.21153846153846154</v>
      </c>
      <c r="L73" s="571">
        <v>0.55769230769230771</v>
      </c>
      <c r="M73" s="571">
        <v>0.19230769230769232</v>
      </c>
      <c r="N73" s="571">
        <v>3.8461538461538464E-2</v>
      </c>
      <c r="O73" s="571">
        <v>0</v>
      </c>
      <c r="P73" s="571"/>
      <c r="Q73" s="572"/>
      <c r="S73" s="603">
        <f t="shared" si="11"/>
        <v>0</v>
      </c>
      <c r="T73" s="599">
        <f t="shared" si="12"/>
        <v>1</v>
      </c>
    </row>
    <row r="74" spans="1:20" ht="15">
      <c r="A74" s="1213"/>
      <c r="B74" s="564">
        <v>14</v>
      </c>
      <c r="C74" s="565" t="s">
        <v>1108</v>
      </c>
      <c r="D74" s="564" t="s">
        <v>771</v>
      </c>
      <c r="E74" s="696">
        <v>1151790.4511999998</v>
      </c>
      <c r="F74" s="566">
        <v>4</v>
      </c>
      <c r="G74" s="566">
        <v>4</v>
      </c>
      <c r="H74" s="566">
        <v>4</v>
      </c>
      <c r="I74" s="567">
        <v>1.9881186723518185</v>
      </c>
      <c r="J74" s="568">
        <v>1.3088126773682838</v>
      </c>
      <c r="K74" s="571">
        <v>0.21153846153846154</v>
      </c>
      <c r="L74" s="571">
        <v>0.55769230769230771</v>
      </c>
      <c r="M74" s="571">
        <v>0.19230769230769232</v>
      </c>
      <c r="N74" s="571">
        <v>3.8461538461538464E-2</v>
      </c>
      <c r="O74" s="571">
        <v>0</v>
      </c>
      <c r="P74" s="571"/>
      <c r="Q74" s="572"/>
      <c r="S74" s="603">
        <f t="shared" si="11"/>
        <v>1</v>
      </c>
      <c r="T74" s="599">
        <f t="shared" si="12"/>
        <v>0</v>
      </c>
    </row>
    <row r="75" spans="1:20" ht="15">
      <c r="A75" s="1213"/>
      <c r="B75" s="564">
        <v>15</v>
      </c>
      <c r="C75" s="565" t="s">
        <v>1086</v>
      </c>
      <c r="D75" s="564" t="s">
        <v>770</v>
      </c>
      <c r="E75" s="696">
        <v>900000</v>
      </c>
      <c r="F75" s="566">
        <v>11</v>
      </c>
      <c r="G75" s="566">
        <v>11</v>
      </c>
      <c r="H75" s="566">
        <v>11</v>
      </c>
      <c r="I75" s="567">
        <v>2.5339182573320693</v>
      </c>
      <c r="J75" s="568">
        <v>1.4830906068478693</v>
      </c>
      <c r="K75" s="571">
        <v>0.21153846153846154</v>
      </c>
      <c r="L75" s="571">
        <v>0.55769230769230771</v>
      </c>
      <c r="M75" s="571">
        <v>0.19230769230769232</v>
      </c>
      <c r="N75" s="571">
        <v>3.8461538461538464E-2</v>
      </c>
      <c r="O75" s="571">
        <v>0</v>
      </c>
      <c r="P75" s="571"/>
      <c r="Q75" s="572"/>
      <c r="S75" s="603">
        <f t="shared" si="11"/>
        <v>0</v>
      </c>
      <c r="T75" s="599">
        <f t="shared" si="12"/>
        <v>1</v>
      </c>
    </row>
    <row r="76" spans="1:20" ht="15">
      <c r="A76" s="1213"/>
      <c r="B76" s="564">
        <v>16</v>
      </c>
      <c r="C76" s="565" t="s">
        <v>1028</v>
      </c>
      <c r="D76" s="564" t="s">
        <v>770</v>
      </c>
      <c r="E76" s="696">
        <v>748818</v>
      </c>
      <c r="F76" s="566">
        <v>4</v>
      </c>
      <c r="G76" s="566">
        <v>4.666666666666667</v>
      </c>
      <c r="H76" s="566">
        <v>6</v>
      </c>
      <c r="I76" s="567">
        <v>2.1098184810011325</v>
      </c>
      <c r="J76" s="568">
        <v>1.3360200985041808</v>
      </c>
      <c r="K76" s="571">
        <v>0.33552631578947367</v>
      </c>
      <c r="L76" s="571">
        <v>0.51973684210526316</v>
      </c>
      <c r="M76" s="571">
        <v>9.2105263157894732E-2</v>
      </c>
      <c r="N76" s="571">
        <v>5.2631578947368418E-2</v>
      </c>
      <c r="O76" s="571">
        <v>0</v>
      </c>
      <c r="P76" s="571"/>
      <c r="Q76" s="572"/>
      <c r="S76" s="603">
        <f t="shared" si="11"/>
        <v>0</v>
      </c>
      <c r="T76" s="599">
        <f t="shared" si="12"/>
        <v>1</v>
      </c>
    </row>
    <row r="77" spans="1:20" ht="15">
      <c r="A77" s="1213"/>
      <c r="B77" s="564">
        <v>17</v>
      </c>
      <c r="C77" s="565" t="s">
        <v>1110</v>
      </c>
      <c r="D77" s="564" t="s">
        <v>771</v>
      </c>
      <c r="E77" s="696">
        <v>702915.92800000007</v>
      </c>
      <c r="F77" s="566">
        <v>5</v>
      </c>
      <c r="G77" s="566">
        <v>5</v>
      </c>
      <c r="H77" s="566">
        <v>5</v>
      </c>
      <c r="I77" s="567">
        <v>1.9881186723518185</v>
      </c>
      <c r="J77" s="567">
        <v>1.3088126773682838</v>
      </c>
      <c r="K77" s="567">
        <v>0.21153846153846154</v>
      </c>
      <c r="L77" s="567">
        <v>0.55769230769230771</v>
      </c>
      <c r="M77" s="567">
        <v>0.19230769230769232</v>
      </c>
      <c r="N77" s="567">
        <v>3.8461538461538464E-2</v>
      </c>
      <c r="O77" s="567">
        <v>0</v>
      </c>
      <c r="P77" s="567"/>
      <c r="Q77" s="692"/>
      <c r="S77" s="603">
        <f t="shared" si="11"/>
        <v>1</v>
      </c>
      <c r="T77" s="599">
        <f t="shared" si="12"/>
        <v>0</v>
      </c>
    </row>
    <row r="78" spans="1:20" ht="15">
      <c r="A78" s="1213"/>
      <c r="B78" s="564">
        <v>18</v>
      </c>
      <c r="C78" s="565" t="s">
        <v>1103</v>
      </c>
      <c r="D78" s="564" t="s">
        <v>771</v>
      </c>
      <c r="E78" s="696">
        <v>700269.33900000004</v>
      </c>
      <c r="F78" s="566">
        <v>4</v>
      </c>
      <c r="G78" s="566">
        <v>4</v>
      </c>
      <c r="H78" s="566">
        <v>4</v>
      </c>
      <c r="I78" s="567">
        <v>1.8860561874586299</v>
      </c>
      <c r="J78" s="567">
        <v>1.3064354950763004</v>
      </c>
      <c r="K78" s="567">
        <v>0.21153846153846154</v>
      </c>
      <c r="L78" s="567">
        <v>0.55769230769230771</v>
      </c>
      <c r="M78" s="567">
        <v>0.19230769230769232</v>
      </c>
      <c r="N78" s="567">
        <v>3.8461538461538464E-2</v>
      </c>
      <c r="O78" s="567">
        <v>0</v>
      </c>
      <c r="P78" s="567"/>
      <c r="Q78" s="692"/>
      <c r="S78" s="603">
        <f t="shared" si="11"/>
        <v>1</v>
      </c>
      <c r="T78" s="599">
        <f t="shared" si="12"/>
        <v>0</v>
      </c>
    </row>
    <row r="79" spans="1:20" ht="15">
      <c r="A79" s="1213"/>
      <c r="B79" s="564">
        <v>19</v>
      </c>
      <c r="C79" s="565" t="s">
        <v>1085</v>
      </c>
      <c r="D79" s="564" t="s">
        <v>770</v>
      </c>
      <c r="E79" s="696">
        <v>700000</v>
      </c>
      <c r="F79" s="566">
        <v>8</v>
      </c>
      <c r="G79" s="566">
        <v>8</v>
      </c>
      <c r="H79" s="566">
        <v>8</v>
      </c>
      <c r="I79" s="567">
        <v>2.5339182573320693</v>
      </c>
      <c r="J79" s="567">
        <v>1.4830906068478693</v>
      </c>
      <c r="K79" s="567">
        <v>0.21153846153846154</v>
      </c>
      <c r="L79" s="567">
        <v>0.53846153846153844</v>
      </c>
      <c r="M79" s="567">
        <v>0.23076923076923078</v>
      </c>
      <c r="N79" s="567">
        <v>1.9230769230769232E-2</v>
      </c>
      <c r="O79" s="567">
        <v>0</v>
      </c>
      <c r="P79" s="567"/>
      <c r="Q79" s="692"/>
      <c r="S79" s="603">
        <f t="shared" si="11"/>
        <v>0</v>
      </c>
      <c r="T79" s="599">
        <f t="shared" si="12"/>
        <v>1</v>
      </c>
    </row>
    <row r="80" spans="1:20" ht="15">
      <c r="A80" s="1213"/>
      <c r="B80" s="564">
        <v>20</v>
      </c>
      <c r="C80" s="565" t="s">
        <v>1040</v>
      </c>
      <c r="D80" s="564" t="s">
        <v>770</v>
      </c>
      <c r="E80" s="696">
        <v>575113.03199999989</v>
      </c>
      <c r="F80" s="566">
        <v>5</v>
      </c>
      <c r="G80" s="566">
        <v>5</v>
      </c>
      <c r="H80" s="566">
        <v>5</v>
      </c>
      <c r="I80" s="567">
        <v>1.9881186723518185</v>
      </c>
      <c r="J80" s="567">
        <v>1.3088126773682838</v>
      </c>
      <c r="K80" s="567">
        <v>0.21153846153846154</v>
      </c>
      <c r="L80" s="567">
        <v>0.55769230769230771</v>
      </c>
      <c r="M80" s="567">
        <v>0.19230769230769232</v>
      </c>
      <c r="N80" s="567">
        <v>3.8461538461538464E-2</v>
      </c>
      <c r="O80" s="567">
        <v>0</v>
      </c>
      <c r="P80" s="567"/>
      <c r="Q80" s="692"/>
      <c r="S80" s="603">
        <f t="shared" si="11"/>
        <v>0</v>
      </c>
      <c r="T80" s="599">
        <f t="shared" si="12"/>
        <v>1</v>
      </c>
    </row>
    <row r="81" spans="1:20" ht="15">
      <c r="A81" s="1213"/>
      <c r="B81" s="564">
        <v>21</v>
      </c>
      <c r="C81" s="565" t="s">
        <v>1035</v>
      </c>
      <c r="D81" s="564" t="s">
        <v>770</v>
      </c>
      <c r="E81" s="696">
        <v>283820.51411999995</v>
      </c>
      <c r="F81" s="566">
        <v>6</v>
      </c>
      <c r="G81" s="566">
        <v>6</v>
      </c>
      <c r="H81" s="566">
        <v>6</v>
      </c>
      <c r="I81" s="567">
        <v>1.8860561874586299</v>
      </c>
      <c r="J81" s="567">
        <v>1.3064354950763004</v>
      </c>
      <c r="K81" s="567">
        <v>0.25</v>
      </c>
      <c r="L81" s="567">
        <v>0.25</v>
      </c>
      <c r="M81" s="567">
        <v>0.5</v>
      </c>
      <c r="N81" s="567">
        <v>0</v>
      </c>
      <c r="O81" s="567">
        <v>0</v>
      </c>
      <c r="P81" s="567"/>
      <c r="Q81" s="692"/>
      <c r="S81" s="603">
        <f t="shared" si="11"/>
        <v>0</v>
      </c>
      <c r="T81" s="599">
        <f t="shared" si="12"/>
        <v>1</v>
      </c>
    </row>
    <row r="82" spans="1:20" ht="15">
      <c r="A82" s="1213"/>
      <c r="B82" s="564">
        <v>22</v>
      </c>
      <c r="C82" s="565" t="s">
        <v>1120</v>
      </c>
      <c r="D82" s="564" t="s">
        <v>771</v>
      </c>
      <c r="E82" s="696">
        <v>186380</v>
      </c>
      <c r="F82" s="566">
        <v>5</v>
      </c>
      <c r="G82" s="566">
        <v>5</v>
      </c>
      <c r="H82" s="566">
        <v>5</v>
      </c>
      <c r="I82" s="567">
        <v>2.1382274410872029</v>
      </c>
      <c r="J82" s="567">
        <v>1.2579324779507752</v>
      </c>
      <c r="K82" s="567">
        <v>0.2857142857142857</v>
      </c>
      <c r="L82" s="567">
        <v>0.5714285714285714</v>
      </c>
      <c r="M82" s="567">
        <v>0.14285714285714285</v>
      </c>
      <c r="N82" s="567">
        <v>0</v>
      </c>
      <c r="O82" s="567">
        <v>0</v>
      </c>
      <c r="P82" s="567"/>
      <c r="Q82" s="692"/>
      <c r="S82" s="603">
        <f t="shared" si="11"/>
        <v>1</v>
      </c>
      <c r="T82" s="599">
        <f t="shared" si="12"/>
        <v>0</v>
      </c>
    </row>
    <row r="83" spans="1:20" ht="15">
      <c r="A83" s="1213"/>
      <c r="B83" s="564">
        <v>23</v>
      </c>
      <c r="C83" s="565" t="s">
        <v>1105</v>
      </c>
      <c r="D83" s="564" t="s">
        <v>771</v>
      </c>
      <c r="E83" s="696">
        <v>164553.12587999998</v>
      </c>
      <c r="F83" s="566">
        <v>6</v>
      </c>
      <c r="G83" s="566">
        <v>6</v>
      </c>
      <c r="H83" s="566">
        <v>6</v>
      </c>
      <c r="I83" s="567">
        <v>1.8860561874586299</v>
      </c>
      <c r="J83" s="567">
        <v>1.3064354950763004</v>
      </c>
      <c r="K83" s="567">
        <v>0.25</v>
      </c>
      <c r="L83" s="567">
        <v>0.25</v>
      </c>
      <c r="M83" s="567">
        <v>0.5</v>
      </c>
      <c r="N83" s="567">
        <v>0</v>
      </c>
      <c r="O83" s="567">
        <v>0</v>
      </c>
      <c r="P83" s="567"/>
      <c r="Q83" s="692"/>
      <c r="S83" s="603">
        <f t="shared" si="11"/>
        <v>1</v>
      </c>
      <c r="T83" s="599">
        <f t="shared" si="12"/>
        <v>0</v>
      </c>
    </row>
    <row r="84" spans="1:20" ht="15">
      <c r="A84" s="1213"/>
      <c r="B84" s="564">
        <v>24</v>
      </c>
      <c r="C84" s="565" t="s">
        <v>1121</v>
      </c>
      <c r="D84" s="564" t="s">
        <v>771</v>
      </c>
      <c r="E84" s="696">
        <v>71352</v>
      </c>
      <c r="F84" s="566">
        <v>6.8</v>
      </c>
      <c r="G84" s="566">
        <v>6.8</v>
      </c>
      <c r="H84" s="566">
        <v>6.8</v>
      </c>
      <c r="I84" s="567">
        <v>2.1747396831740726</v>
      </c>
      <c r="J84" s="567">
        <v>1.3333567987466031</v>
      </c>
      <c r="K84" s="567">
        <v>0.21153846153846154</v>
      </c>
      <c r="L84" s="567">
        <v>0.55769230769230771</v>
      </c>
      <c r="M84" s="567">
        <v>0.19230769230769232</v>
      </c>
      <c r="N84" s="567">
        <v>3.8461538461538464E-2</v>
      </c>
      <c r="O84" s="567">
        <v>0</v>
      </c>
      <c r="P84" s="567"/>
      <c r="Q84" s="692"/>
      <c r="S84" s="603">
        <f t="shared" si="11"/>
        <v>1</v>
      </c>
      <c r="T84" s="599">
        <f t="shared" si="12"/>
        <v>0</v>
      </c>
    </row>
    <row r="85" spans="1:20" ht="15">
      <c r="A85" s="1213"/>
      <c r="B85" s="564">
        <v>25</v>
      </c>
      <c r="C85" s="565" t="s">
        <v>1077</v>
      </c>
      <c r="D85" s="564" t="s">
        <v>770</v>
      </c>
      <c r="E85" s="696">
        <v>30000</v>
      </c>
      <c r="F85" s="566">
        <v>4</v>
      </c>
      <c r="G85" s="566">
        <v>6</v>
      </c>
      <c r="H85" s="566">
        <v>8</v>
      </c>
      <c r="I85" s="567">
        <v>2.1747396831740726</v>
      </c>
      <c r="J85" s="567">
        <v>1.3333567987466031</v>
      </c>
      <c r="K85" s="567">
        <v>0.21153846153846154</v>
      </c>
      <c r="L85" s="567">
        <v>0.55769230769230771</v>
      </c>
      <c r="M85" s="567">
        <v>0.19230769230769232</v>
      </c>
      <c r="N85" s="567">
        <v>3.8461538461538464E-2</v>
      </c>
      <c r="O85" s="567">
        <v>0</v>
      </c>
      <c r="P85" s="567"/>
      <c r="Q85" s="692"/>
      <c r="S85" s="603">
        <f t="shared" si="11"/>
        <v>0</v>
      </c>
      <c r="T85" s="599">
        <f t="shared" si="12"/>
        <v>1</v>
      </c>
    </row>
    <row r="86" spans="1:20" ht="15">
      <c r="A86" s="1213"/>
      <c r="B86" s="564">
        <v>26</v>
      </c>
      <c r="C86" s="565" t="s">
        <v>1099</v>
      </c>
      <c r="D86" s="564" t="s">
        <v>771</v>
      </c>
      <c r="E86" s="696">
        <v>15282</v>
      </c>
      <c r="F86" s="695">
        <v>4</v>
      </c>
      <c r="G86" s="695">
        <v>4.666666666666667</v>
      </c>
      <c r="H86" s="695">
        <v>6</v>
      </c>
      <c r="I86" s="693">
        <v>2.1098184810011325</v>
      </c>
      <c r="J86" s="693">
        <v>1.3360200985041808</v>
      </c>
      <c r="K86" s="693">
        <v>0.33552631578947367</v>
      </c>
      <c r="L86" s="693">
        <v>0.51973684210526316</v>
      </c>
      <c r="M86" s="693">
        <v>9.2105263157894732E-2</v>
      </c>
      <c r="N86" s="693">
        <v>5.2631578947368418E-2</v>
      </c>
      <c r="O86" s="693">
        <v>0</v>
      </c>
      <c r="P86" s="693"/>
      <c r="Q86" s="694"/>
      <c r="S86" s="603">
        <f t="shared" si="11"/>
        <v>1</v>
      </c>
      <c r="T86" s="599">
        <f t="shared" si="12"/>
        <v>0</v>
      </c>
    </row>
    <row r="87" spans="1:20" ht="15">
      <c r="A87" s="1213"/>
      <c r="B87" s="564">
        <v>27</v>
      </c>
      <c r="C87" s="565"/>
      <c r="D87" s="564"/>
      <c r="E87" s="697"/>
      <c r="F87" s="695"/>
      <c r="G87" s="695"/>
      <c r="H87" s="695"/>
      <c r="I87" s="693"/>
      <c r="J87" s="693"/>
      <c r="K87" s="693"/>
      <c r="L87" s="693"/>
      <c r="M87" s="693"/>
      <c r="N87" s="693"/>
      <c r="O87" s="693"/>
      <c r="P87" s="693"/>
      <c r="Q87" s="694"/>
      <c r="S87" s="603">
        <f t="shared" si="11"/>
        <v>0</v>
      </c>
      <c r="T87" s="599">
        <f t="shared" si="12"/>
        <v>0</v>
      </c>
    </row>
    <row r="88" spans="1:20" ht="15">
      <c r="A88" s="1213"/>
      <c r="B88" s="564">
        <v>28</v>
      </c>
      <c r="C88" s="565"/>
      <c r="D88" s="564"/>
      <c r="E88" s="697"/>
      <c r="F88" s="695"/>
      <c r="G88" s="695"/>
      <c r="H88" s="695"/>
      <c r="I88" s="693"/>
      <c r="J88" s="693"/>
      <c r="K88" s="693"/>
      <c r="L88" s="693"/>
      <c r="M88" s="693"/>
      <c r="N88" s="693"/>
      <c r="O88" s="693"/>
      <c r="P88" s="693"/>
      <c r="Q88" s="694"/>
      <c r="S88" s="603">
        <f t="shared" si="11"/>
        <v>0</v>
      </c>
      <c r="T88" s="599">
        <f t="shared" si="12"/>
        <v>0</v>
      </c>
    </row>
    <row r="89" spans="1:20" ht="15">
      <c r="A89" s="1213"/>
      <c r="B89" s="564">
        <v>29</v>
      </c>
      <c r="C89" s="565"/>
      <c r="D89" s="564"/>
      <c r="E89" s="697"/>
      <c r="F89" s="695"/>
      <c r="G89" s="695"/>
      <c r="H89" s="695"/>
      <c r="I89" s="693"/>
      <c r="J89" s="693"/>
      <c r="K89" s="693"/>
      <c r="L89" s="693"/>
      <c r="M89" s="693"/>
      <c r="N89" s="693"/>
      <c r="O89" s="693"/>
      <c r="P89" s="693"/>
      <c r="Q89" s="694"/>
      <c r="S89" s="603">
        <f t="shared" si="11"/>
        <v>0</v>
      </c>
      <c r="T89" s="599">
        <f t="shared" si="12"/>
        <v>0</v>
      </c>
    </row>
    <row r="90" spans="1:20" ht="15">
      <c r="A90" s="1213"/>
      <c r="B90" s="564">
        <v>30</v>
      </c>
      <c r="C90" s="565"/>
      <c r="D90" s="564"/>
      <c r="E90" s="697"/>
      <c r="F90" s="695"/>
      <c r="G90" s="695"/>
      <c r="H90" s="695"/>
      <c r="I90" s="693"/>
      <c r="J90" s="693"/>
      <c r="K90" s="693"/>
      <c r="L90" s="693"/>
      <c r="M90" s="693"/>
      <c r="N90" s="693"/>
      <c r="O90" s="693"/>
      <c r="P90" s="693"/>
      <c r="Q90" s="694"/>
      <c r="S90" s="603">
        <f t="shared" si="11"/>
        <v>0</v>
      </c>
      <c r="T90" s="599">
        <f t="shared" si="12"/>
        <v>0</v>
      </c>
    </row>
    <row r="91" spans="1:20" ht="15">
      <c r="A91" s="1213"/>
      <c r="B91" s="564">
        <v>31</v>
      </c>
      <c r="C91" s="565"/>
      <c r="D91" s="564"/>
      <c r="E91" s="696"/>
      <c r="F91" s="566"/>
      <c r="G91" s="566"/>
      <c r="H91" s="566"/>
      <c r="I91" s="567"/>
      <c r="J91" s="567"/>
      <c r="K91" s="567"/>
      <c r="L91" s="567"/>
      <c r="M91" s="567"/>
      <c r="N91" s="567"/>
      <c r="O91" s="567"/>
      <c r="P91" s="567"/>
      <c r="Q91" s="692"/>
      <c r="S91" s="603">
        <f t="shared" si="11"/>
        <v>0</v>
      </c>
      <c r="T91" s="599">
        <f t="shared" si="12"/>
        <v>0</v>
      </c>
    </row>
    <row r="92" spans="1:20" ht="15">
      <c r="A92" s="1213"/>
      <c r="B92" s="564">
        <v>32</v>
      </c>
      <c r="C92" s="565"/>
      <c r="D92" s="564"/>
      <c r="E92" s="696"/>
      <c r="F92" s="566"/>
      <c r="G92" s="566"/>
      <c r="H92" s="566"/>
      <c r="I92" s="567"/>
      <c r="J92" s="567"/>
      <c r="K92" s="567"/>
      <c r="L92" s="567"/>
      <c r="M92" s="567"/>
      <c r="N92" s="567"/>
      <c r="O92" s="567"/>
      <c r="P92" s="567"/>
      <c r="Q92" s="692"/>
      <c r="S92" s="603">
        <f t="shared" si="11"/>
        <v>0</v>
      </c>
      <c r="T92" s="599">
        <f t="shared" si="12"/>
        <v>0</v>
      </c>
    </row>
    <row r="93" spans="1:20" ht="15">
      <c r="A93" s="1213"/>
      <c r="B93" s="564">
        <v>33</v>
      </c>
      <c r="C93" s="565"/>
      <c r="D93" s="564"/>
      <c r="E93" s="696"/>
      <c r="F93" s="566"/>
      <c r="G93" s="566"/>
      <c r="H93" s="566"/>
      <c r="I93" s="567"/>
      <c r="J93" s="567"/>
      <c r="K93" s="567"/>
      <c r="L93" s="567"/>
      <c r="M93" s="567"/>
      <c r="N93" s="567"/>
      <c r="O93" s="567"/>
      <c r="P93" s="567"/>
      <c r="Q93" s="692"/>
      <c r="S93" s="603">
        <f t="shared" si="11"/>
        <v>0</v>
      </c>
      <c r="T93" s="599">
        <f t="shared" si="12"/>
        <v>0</v>
      </c>
    </row>
    <row r="94" spans="1:20" ht="15">
      <c r="A94" s="1213"/>
      <c r="B94" s="564">
        <v>34</v>
      </c>
      <c r="C94" s="565"/>
      <c r="D94" s="564"/>
      <c r="E94" s="696"/>
      <c r="F94" s="566"/>
      <c r="G94" s="566"/>
      <c r="H94" s="566"/>
      <c r="I94" s="567"/>
      <c r="J94" s="567"/>
      <c r="K94" s="567"/>
      <c r="L94" s="567"/>
      <c r="M94" s="567"/>
      <c r="N94" s="567"/>
      <c r="O94" s="567"/>
      <c r="P94" s="567"/>
      <c r="Q94" s="692"/>
      <c r="S94" s="603">
        <f t="shared" si="11"/>
        <v>0</v>
      </c>
      <c r="T94" s="599">
        <f t="shared" si="12"/>
        <v>0</v>
      </c>
    </row>
    <row r="95" spans="1:20" ht="15">
      <c r="A95" s="1213"/>
      <c r="B95" s="564">
        <v>35</v>
      </c>
      <c r="C95" s="565"/>
      <c r="D95" s="564"/>
      <c r="E95" s="696"/>
      <c r="F95" s="566"/>
      <c r="G95" s="566"/>
      <c r="H95" s="566"/>
      <c r="I95" s="567"/>
      <c r="J95" s="567"/>
      <c r="K95" s="567"/>
      <c r="L95" s="567"/>
      <c r="M95" s="567"/>
      <c r="N95" s="567"/>
      <c r="O95" s="567"/>
      <c r="P95" s="567"/>
      <c r="Q95" s="692"/>
      <c r="S95" s="603">
        <f t="shared" si="11"/>
        <v>0</v>
      </c>
      <c r="T95" s="599">
        <f t="shared" si="12"/>
        <v>0</v>
      </c>
    </row>
    <row r="96" spans="1:20" ht="15">
      <c r="A96" s="1213"/>
      <c r="B96" s="564">
        <v>36</v>
      </c>
      <c r="C96" s="565"/>
      <c r="D96" s="564"/>
      <c r="E96" s="696"/>
      <c r="F96" s="566"/>
      <c r="G96" s="566"/>
      <c r="H96" s="566"/>
      <c r="I96" s="567"/>
      <c r="J96" s="567"/>
      <c r="K96" s="567"/>
      <c r="L96" s="567"/>
      <c r="M96" s="567"/>
      <c r="N96" s="567"/>
      <c r="O96" s="567"/>
      <c r="P96" s="567"/>
      <c r="Q96" s="692"/>
      <c r="S96" s="603">
        <f t="shared" si="11"/>
        <v>0</v>
      </c>
      <c r="T96" s="599">
        <f t="shared" si="12"/>
        <v>0</v>
      </c>
    </row>
    <row r="97" spans="1:20" ht="15">
      <c r="A97" s="1213"/>
      <c r="B97" s="564">
        <v>37</v>
      </c>
      <c r="C97" s="565"/>
      <c r="D97" s="564"/>
      <c r="E97" s="696"/>
      <c r="F97" s="566"/>
      <c r="G97" s="566"/>
      <c r="H97" s="566"/>
      <c r="I97" s="567"/>
      <c r="J97" s="567"/>
      <c r="K97" s="567"/>
      <c r="L97" s="567"/>
      <c r="M97" s="567"/>
      <c r="N97" s="567"/>
      <c r="O97" s="567"/>
      <c r="P97" s="567"/>
      <c r="Q97" s="692"/>
      <c r="S97" s="603">
        <f t="shared" si="11"/>
        <v>0</v>
      </c>
      <c r="T97" s="599">
        <f t="shared" si="12"/>
        <v>0</v>
      </c>
    </row>
    <row r="98" spans="1:20" ht="15">
      <c r="A98" s="1213"/>
      <c r="B98" s="564">
        <v>38</v>
      </c>
      <c r="C98" s="565"/>
      <c r="D98" s="564"/>
      <c r="E98" s="696"/>
      <c r="F98" s="566"/>
      <c r="G98" s="566"/>
      <c r="H98" s="566"/>
      <c r="I98" s="567"/>
      <c r="J98" s="567"/>
      <c r="K98" s="567"/>
      <c r="L98" s="567"/>
      <c r="M98" s="567"/>
      <c r="N98" s="567"/>
      <c r="O98" s="567"/>
      <c r="P98" s="567"/>
      <c r="Q98" s="692"/>
      <c r="S98" s="603">
        <f t="shared" si="11"/>
        <v>0</v>
      </c>
      <c r="T98" s="599">
        <f t="shared" si="12"/>
        <v>0</v>
      </c>
    </row>
    <row r="99" spans="1:20" ht="15">
      <c r="A99" s="1213"/>
      <c r="B99" s="564">
        <v>39</v>
      </c>
      <c r="C99" s="565"/>
      <c r="D99" s="564"/>
      <c r="E99" s="696"/>
      <c r="F99" s="566"/>
      <c r="G99" s="566"/>
      <c r="H99" s="566"/>
      <c r="I99" s="567"/>
      <c r="J99" s="567"/>
      <c r="K99" s="567"/>
      <c r="L99" s="567"/>
      <c r="M99" s="567"/>
      <c r="N99" s="567"/>
      <c r="O99" s="567"/>
      <c r="P99" s="567"/>
      <c r="Q99" s="692"/>
      <c r="S99" s="603">
        <f t="shared" si="11"/>
        <v>0</v>
      </c>
      <c r="T99" s="599">
        <f t="shared" si="12"/>
        <v>0</v>
      </c>
    </row>
    <row r="100" spans="1:20" ht="15.75" thickBot="1">
      <c r="A100" s="1213"/>
      <c r="B100" s="564">
        <v>40</v>
      </c>
      <c r="C100" s="565"/>
      <c r="D100" s="564"/>
      <c r="E100" s="696"/>
      <c r="F100" s="566"/>
      <c r="G100" s="566"/>
      <c r="H100" s="566"/>
      <c r="I100" s="567"/>
      <c r="J100" s="567"/>
      <c r="K100" s="567"/>
      <c r="L100" s="567"/>
      <c r="M100" s="567"/>
      <c r="N100" s="567"/>
      <c r="O100" s="567"/>
      <c r="P100" s="567"/>
      <c r="Q100" s="692"/>
      <c r="S100" s="604">
        <f t="shared" si="11"/>
        <v>0</v>
      </c>
      <c r="T100" s="600">
        <f t="shared" si="12"/>
        <v>0</v>
      </c>
    </row>
    <row r="101" spans="1:20" ht="15.75" thickBot="1">
      <c r="A101" s="1213"/>
      <c r="B101" s="576"/>
      <c r="C101" s="576"/>
      <c r="D101" s="576"/>
      <c r="E101" s="576"/>
      <c r="F101" s="576"/>
      <c r="G101" s="576"/>
      <c r="H101" s="576"/>
      <c r="I101" s="576"/>
      <c r="J101" s="576"/>
      <c r="K101" s="576"/>
      <c r="L101" s="576"/>
      <c r="M101" s="576"/>
      <c r="N101" s="576"/>
      <c r="O101" s="576"/>
      <c r="P101" s="576"/>
      <c r="Q101" s="576"/>
    </row>
    <row r="102" spans="1:20" ht="15">
      <c r="A102" s="1213"/>
      <c r="B102" s="613"/>
      <c r="C102" s="614"/>
      <c r="D102" s="617" t="s">
        <v>968</v>
      </c>
      <c r="E102" s="577">
        <f>SUMPRODUCT(T61:T100,E61:E100)</f>
        <v>61474257.213700488</v>
      </c>
      <c r="F102" s="578"/>
      <c r="G102" s="578"/>
      <c r="H102" s="578"/>
      <c r="I102" s="578"/>
      <c r="J102" s="578"/>
      <c r="K102" s="578"/>
      <c r="L102" s="578"/>
      <c r="M102" s="578"/>
      <c r="N102" s="578"/>
      <c r="O102" s="578"/>
      <c r="P102" s="578"/>
      <c r="Q102" s="578"/>
      <c r="S102" s="606">
        <f>SUM(S61:S100)</f>
        <v>9</v>
      </c>
      <c r="T102" s="606">
        <f>SUM(T61:T100)</f>
        <v>17</v>
      </c>
    </row>
    <row r="103" spans="1:20" ht="15.75" thickBot="1">
      <c r="A103" s="1213"/>
      <c r="B103" s="615"/>
      <c r="C103" s="616"/>
      <c r="D103" s="618" t="s">
        <v>969</v>
      </c>
      <c r="E103" s="583"/>
      <c r="F103" s="584">
        <f>IF($T102=0,0,(SUMPRODUCT($T61:$T100,F61:F100,$E61:$E100)/$E102))</f>
        <v>4.6088167828809325</v>
      </c>
      <c r="G103" s="584">
        <f t="shared" ref="G103" si="13">IF($T102=0,0,(SUMPRODUCT($T61:$T100,G61:G100,$E61:$E100)/$E102))</f>
        <v>4.6484970020582113</v>
      </c>
      <c r="H103" s="584">
        <f t="shared" ref="H103:Q103" si="14">IF($T102=0,0,(SUMPRODUCT($T61:$T100,H61:H100,$E61:$E100)/$E102))</f>
        <v>4.6937492609074649</v>
      </c>
      <c r="I103" s="584">
        <f t="shared" si="14"/>
        <v>2.0329167233109144</v>
      </c>
      <c r="J103" s="584">
        <f t="shared" si="14"/>
        <v>1.3113972995770049</v>
      </c>
      <c r="K103" s="801">
        <f t="shared" si="14"/>
        <v>0.19602906564190581</v>
      </c>
      <c r="L103" s="801">
        <f t="shared" si="14"/>
        <v>0.52187974766109435</v>
      </c>
      <c r="M103" s="801">
        <f t="shared" si="14"/>
        <v>0.18001383787286004</v>
      </c>
      <c r="N103" s="801">
        <f t="shared" si="14"/>
        <v>0.10207734882413981</v>
      </c>
      <c r="O103" s="801">
        <f t="shared" si="14"/>
        <v>0</v>
      </c>
      <c r="P103" s="801">
        <f t="shared" si="14"/>
        <v>0</v>
      </c>
      <c r="Q103" s="801">
        <f t="shared" si="14"/>
        <v>0</v>
      </c>
    </row>
    <row r="104" spans="1:20" ht="15">
      <c r="A104" s="1213"/>
      <c r="B104" s="613"/>
      <c r="C104" s="614"/>
      <c r="D104" s="617" t="s">
        <v>970</v>
      </c>
      <c r="E104" s="577">
        <f>SUMPRODUCT(S61:S100,E61:E100)</f>
        <v>8783046.5294799991</v>
      </c>
      <c r="F104" s="578"/>
      <c r="G104" s="578"/>
      <c r="H104" s="578"/>
      <c r="I104" s="578"/>
      <c r="J104" s="578"/>
      <c r="K104" s="802"/>
      <c r="L104" s="802"/>
      <c r="M104" s="802"/>
      <c r="N104" s="802"/>
      <c r="O104" s="802"/>
      <c r="P104" s="802"/>
      <c r="Q104" s="802"/>
    </row>
    <row r="105" spans="1:20" ht="15.75" thickBot="1">
      <c r="A105" s="1213"/>
      <c r="B105" s="615"/>
      <c r="C105" s="616"/>
      <c r="D105" s="618" t="s">
        <v>971</v>
      </c>
      <c r="E105" s="583"/>
      <c r="F105" s="584">
        <f>IF($S102=0,0,(SUMPRODUCT($S61:$S100,F61:F100,$E61:$E100)/$E104))</f>
        <v>4.4601257492597242</v>
      </c>
      <c r="G105" s="584">
        <f t="shared" ref="G105" si="15">IF($S102=0,0,(SUMPRODUCT($S61:$S100,G61:G100,$E61:$E100)/$E104))</f>
        <v>4.4612857112348543</v>
      </c>
      <c r="H105" s="584">
        <f t="shared" ref="H105:Q105" si="16">IF($S102=0,0,(SUMPRODUCT($S61:$S100,H61:H100,$E61:$E100)/$E104))</f>
        <v>4.4636056351851163</v>
      </c>
      <c r="I105" s="584">
        <f t="shared" si="16"/>
        <v>1.9156943431193301</v>
      </c>
      <c r="J105" s="584">
        <f t="shared" si="16"/>
        <v>1.3061784070153701</v>
      </c>
      <c r="K105" s="801">
        <f t="shared" si="16"/>
        <v>0.18284089774911824</v>
      </c>
      <c r="L105" s="801">
        <f t="shared" si="16"/>
        <v>0.51632172118502739</v>
      </c>
      <c r="M105" s="801">
        <f t="shared" si="16"/>
        <v>0.18760190245052269</v>
      </c>
      <c r="N105" s="801">
        <f t="shared" si="16"/>
        <v>0.11323547861533181</v>
      </c>
      <c r="O105" s="801">
        <f t="shared" si="16"/>
        <v>0</v>
      </c>
      <c r="P105" s="801">
        <f t="shared" si="16"/>
        <v>0</v>
      </c>
      <c r="Q105" s="801">
        <f t="shared" si="16"/>
        <v>0</v>
      </c>
    </row>
    <row r="106" spans="1:20" ht="15">
      <c r="A106" s="1213"/>
      <c r="B106" s="613"/>
      <c r="C106" s="614"/>
      <c r="D106" s="617" t="s">
        <v>972</v>
      </c>
      <c r="E106" s="577">
        <f>SUM(E61:E100)</f>
        <v>70257303.743180498</v>
      </c>
      <c r="F106" s="578"/>
      <c r="G106" s="578"/>
      <c r="H106" s="578"/>
      <c r="I106" s="578"/>
      <c r="J106" s="578"/>
      <c r="K106" s="802"/>
      <c r="L106" s="802"/>
      <c r="M106" s="802"/>
      <c r="N106" s="802"/>
      <c r="O106" s="802"/>
      <c r="P106" s="802"/>
      <c r="Q106" s="802"/>
    </row>
    <row r="107" spans="1:20" ht="15.75" thickBot="1">
      <c r="A107" s="1213"/>
      <c r="B107" s="615"/>
      <c r="C107" s="616"/>
      <c r="D107" s="618" t="s">
        <v>973</v>
      </c>
      <c r="E107" s="583"/>
      <c r="F107" s="584">
        <f>SUMPRODUCT($E61:$E100,F61:F100)/$E106</f>
        <v>4.5902285337277133</v>
      </c>
      <c r="G107" s="584">
        <f t="shared" ref="G107" si="17">SUMPRODUCT($E61:$E100,G61:G100)/$E106</f>
        <v>4.6250932363208257</v>
      </c>
      <c r="H107" s="584">
        <f t="shared" ref="H107:Q107" si="18">SUMPRODUCT($E61:$E100,H61:H100)/$E106</f>
        <v>4.6649784133871615</v>
      </c>
      <c r="I107" s="584">
        <f t="shared" si="18"/>
        <v>2.0182624515887517</v>
      </c>
      <c r="J107" s="584">
        <f t="shared" si="18"/>
        <v>1.3107448723735815</v>
      </c>
      <c r="K107" s="801">
        <f t="shared" si="18"/>
        <v>0.19438037879983225</v>
      </c>
      <c r="L107" s="801">
        <f t="shared" si="18"/>
        <v>0.52118492445339193</v>
      </c>
      <c r="M107" s="801">
        <f t="shared" si="18"/>
        <v>0.1809624413731869</v>
      </c>
      <c r="N107" s="801">
        <f t="shared" si="18"/>
        <v>0.10347225537358919</v>
      </c>
      <c r="O107" s="801">
        <f t="shared" si="18"/>
        <v>0</v>
      </c>
      <c r="P107" s="801">
        <f t="shared" si="18"/>
        <v>0</v>
      </c>
      <c r="Q107" s="801">
        <f t="shared" si="18"/>
        <v>0</v>
      </c>
    </row>
    <row r="108" spans="1:20" ht="15">
      <c r="A108" s="557"/>
      <c r="B108" s="557"/>
      <c r="C108" s="557"/>
      <c r="D108" s="557"/>
      <c r="E108" s="557"/>
      <c r="F108" s="557"/>
      <c r="G108" s="557"/>
      <c r="H108" s="557"/>
      <c r="I108" s="557"/>
      <c r="J108" s="590"/>
      <c r="K108" s="557"/>
      <c r="L108" s="557"/>
      <c r="M108" s="557"/>
      <c r="N108" s="557"/>
      <c r="O108" s="557"/>
      <c r="P108" s="557"/>
      <c r="Q108" s="557"/>
    </row>
    <row r="109" spans="1:20" ht="15">
      <c r="A109" s="591"/>
      <c r="B109" s="554"/>
      <c r="C109" s="591"/>
      <c r="D109" s="591"/>
      <c r="E109" s="591"/>
      <c r="F109" s="591"/>
      <c r="G109" s="591"/>
      <c r="H109" s="591"/>
      <c r="I109" s="591"/>
      <c r="J109" s="591"/>
      <c r="K109" s="554"/>
      <c r="L109" s="591"/>
      <c r="M109" s="591"/>
      <c r="N109" s="591"/>
      <c r="O109" s="591"/>
      <c r="P109" s="591"/>
      <c r="Q109" s="591"/>
      <c r="R109" s="592"/>
    </row>
    <row r="110" spans="1:20" ht="15">
      <c r="A110" s="557"/>
      <c r="B110" s="799" t="s">
        <v>1173</v>
      </c>
      <c r="C110" s="800" t="s">
        <v>1181</v>
      </c>
      <c r="D110" s="557"/>
      <c r="E110" s="557"/>
      <c r="F110" s="557"/>
      <c r="G110" s="557"/>
      <c r="H110" s="557"/>
      <c r="I110" s="557"/>
      <c r="J110" s="557"/>
      <c r="K110" s="557"/>
      <c r="L110" s="557"/>
      <c r="M110" s="557"/>
      <c r="N110" s="557"/>
      <c r="O110" s="557"/>
      <c r="P110" s="557"/>
      <c r="Q110" s="557"/>
    </row>
    <row r="111" spans="1:20" ht="15" customHeight="1" thickBot="1">
      <c r="A111" s="557"/>
      <c r="B111" s="799" t="s">
        <v>1174</v>
      </c>
      <c r="C111" s="800" t="s">
        <v>1182</v>
      </c>
      <c r="D111" s="557"/>
      <c r="E111" s="557"/>
      <c r="F111" s="608"/>
      <c r="G111" s="609" t="s">
        <v>173</v>
      </c>
      <c r="H111" s="609"/>
      <c r="I111" s="557"/>
      <c r="J111" s="557"/>
      <c r="K111" s="610"/>
      <c r="L111" s="611"/>
      <c r="M111" s="611" t="s">
        <v>954</v>
      </c>
      <c r="N111" s="611"/>
      <c r="O111" s="611"/>
      <c r="P111" s="611"/>
      <c r="Q111" s="612"/>
    </row>
    <row r="112" spans="1:20" ht="30.75" customHeight="1" thickBot="1">
      <c r="A112" s="1213" t="s">
        <v>1226</v>
      </c>
      <c r="B112" s="558" t="s">
        <v>955</v>
      </c>
      <c r="C112" s="559" t="s">
        <v>104</v>
      </c>
      <c r="D112" s="558" t="s">
        <v>769</v>
      </c>
      <c r="E112" s="558" t="s">
        <v>255</v>
      </c>
      <c r="F112" s="560" t="s">
        <v>956</v>
      </c>
      <c r="G112" s="560" t="s">
        <v>957</v>
      </c>
      <c r="H112" s="560" t="s">
        <v>958</v>
      </c>
      <c r="I112" s="561" t="s">
        <v>959</v>
      </c>
      <c r="J112" s="562" t="s">
        <v>960</v>
      </c>
      <c r="K112" s="562" t="s">
        <v>961</v>
      </c>
      <c r="L112" s="562" t="s">
        <v>962</v>
      </c>
      <c r="M112" s="562" t="s">
        <v>963</v>
      </c>
      <c r="N112" s="562" t="s">
        <v>964</v>
      </c>
      <c r="O112" s="562" t="s">
        <v>965</v>
      </c>
      <c r="P112" s="562" t="s">
        <v>966</v>
      </c>
      <c r="Q112" s="563" t="s">
        <v>967</v>
      </c>
      <c r="S112" s="602" t="s">
        <v>771</v>
      </c>
      <c r="T112" s="601" t="s">
        <v>770</v>
      </c>
    </row>
    <row r="113" spans="1:20" ht="15">
      <c r="A113" s="1213"/>
      <c r="B113" s="564">
        <v>1</v>
      </c>
      <c r="C113" s="565" t="s">
        <v>1102</v>
      </c>
      <c r="D113" s="564" t="s">
        <v>771</v>
      </c>
      <c r="E113" s="696">
        <v>11568975.000000002</v>
      </c>
      <c r="F113" s="566">
        <v>3</v>
      </c>
      <c r="G113" s="566">
        <v>3.6666666666666665</v>
      </c>
      <c r="H113" s="566">
        <v>4</v>
      </c>
      <c r="I113" s="567">
        <v>1.8860561874586299</v>
      </c>
      <c r="J113" s="568">
        <v>1.3064354950763004</v>
      </c>
      <c r="K113" s="569">
        <v>0.25757575757575757</v>
      </c>
      <c r="L113" s="569">
        <v>0.53030303030303028</v>
      </c>
      <c r="M113" s="569">
        <v>0.18181818181818182</v>
      </c>
      <c r="N113" s="569">
        <v>3.0303030303030304E-2</v>
      </c>
      <c r="O113" s="569">
        <v>0</v>
      </c>
      <c r="P113" s="569"/>
      <c r="Q113" s="570"/>
      <c r="S113" s="603">
        <f>IF(D113="Commercial",1,0)</f>
        <v>1</v>
      </c>
      <c r="T113" s="599">
        <f>IF(D113="Residential",1,0)</f>
        <v>0</v>
      </c>
    </row>
    <row r="114" spans="1:20" ht="15">
      <c r="A114" s="1213"/>
      <c r="B114" s="564">
        <v>2</v>
      </c>
      <c r="C114" s="565" t="s">
        <v>1058</v>
      </c>
      <c r="D114" s="564" t="s">
        <v>770</v>
      </c>
      <c r="E114" s="696">
        <v>11514798</v>
      </c>
      <c r="F114" s="566">
        <v>5</v>
      </c>
      <c r="G114" s="566">
        <v>5</v>
      </c>
      <c r="H114" s="566">
        <v>5</v>
      </c>
      <c r="I114" s="567">
        <v>2.2730303617553296</v>
      </c>
      <c r="J114" s="568">
        <v>1.447651083752618</v>
      </c>
      <c r="K114" s="571">
        <v>0.05</v>
      </c>
      <c r="L114" s="571">
        <v>0.95</v>
      </c>
      <c r="M114" s="571">
        <v>0</v>
      </c>
      <c r="N114" s="571">
        <v>0</v>
      </c>
      <c r="O114" s="571">
        <v>0</v>
      </c>
      <c r="P114" s="571"/>
      <c r="Q114" s="572"/>
      <c r="S114" s="603">
        <f t="shared" ref="S114:S152" si="19">IF(D114="Commercial",1,0)</f>
        <v>0</v>
      </c>
      <c r="T114" s="599">
        <f t="shared" ref="T114:T152" si="20">IF(D114="Residential",1,0)</f>
        <v>1</v>
      </c>
    </row>
    <row r="115" spans="1:20" ht="15">
      <c r="A115" s="1213"/>
      <c r="B115" s="564">
        <v>3</v>
      </c>
      <c r="C115" s="565" t="s">
        <v>1032</v>
      </c>
      <c r="D115" s="564" t="s">
        <v>770</v>
      </c>
      <c r="E115" s="696">
        <v>9465524.9999999981</v>
      </c>
      <c r="F115" s="566">
        <v>3</v>
      </c>
      <c r="G115" s="566">
        <v>3.6666666666666665</v>
      </c>
      <c r="H115" s="566">
        <v>4</v>
      </c>
      <c r="I115" s="567">
        <v>1.8860561874586299</v>
      </c>
      <c r="J115" s="568">
        <v>1.3064354950763004</v>
      </c>
      <c r="K115" s="571">
        <v>0.25757575757575757</v>
      </c>
      <c r="L115" s="571">
        <v>0.53030303030303028</v>
      </c>
      <c r="M115" s="571">
        <v>0.18181818181818182</v>
      </c>
      <c r="N115" s="571">
        <v>3.0303030303030304E-2</v>
      </c>
      <c r="O115" s="571">
        <v>0</v>
      </c>
      <c r="P115" s="571"/>
      <c r="Q115" s="572"/>
      <c r="S115" s="603">
        <f t="shared" si="19"/>
        <v>0</v>
      </c>
      <c r="T115" s="599">
        <f t="shared" si="20"/>
        <v>1</v>
      </c>
    </row>
    <row r="116" spans="1:20" ht="15">
      <c r="A116" s="1213"/>
      <c r="B116" s="564">
        <v>4</v>
      </c>
      <c r="C116" s="565" t="s">
        <v>1101</v>
      </c>
      <c r="D116" s="564" t="s">
        <v>771</v>
      </c>
      <c r="E116" s="696">
        <v>4771635</v>
      </c>
      <c r="F116" s="566">
        <v>3</v>
      </c>
      <c r="G116" s="566">
        <v>3.6666666666666665</v>
      </c>
      <c r="H116" s="566">
        <v>4</v>
      </c>
      <c r="I116" s="567">
        <v>1.8860561874586299</v>
      </c>
      <c r="J116" s="568">
        <v>1.3064354950763004</v>
      </c>
      <c r="K116" s="571">
        <v>0.23684210526315788</v>
      </c>
      <c r="L116" s="571">
        <v>0.5</v>
      </c>
      <c r="M116" s="571">
        <v>0.26315789473684209</v>
      </c>
      <c r="N116" s="571">
        <v>0</v>
      </c>
      <c r="O116" s="571">
        <v>0</v>
      </c>
      <c r="P116" s="571"/>
      <c r="Q116" s="572"/>
      <c r="S116" s="603">
        <f t="shared" si="19"/>
        <v>1</v>
      </c>
      <c r="T116" s="599">
        <f t="shared" si="20"/>
        <v>0</v>
      </c>
    </row>
    <row r="117" spans="1:20" ht="15">
      <c r="A117" s="1213"/>
      <c r="B117" s="564">
        <v>5</v>
      </c>
      <c r="C117" s="565" t="s">
        <v>1127</v>
      </c>
      <c r="D117" s="564" t="s">
        <v>770</v>
      </c>
      <c r="E117" s="696">
        <v>3904064.9999999995</v>
      </c>
      <c r="F117" s="566">
        <v>3</v>
      </c>
      <c r="G117" s="566">
        <v>3.6666666666666665</v>
      </c>
      <c r="H117" s="566">
        <v>4</v>
      </c>
      <c r="I117" s="567">
        <v>1.8860561874586299</v>
      </c>
      <c r="J117" s="568">
        <v>1.3064354950763004</v>
      </c>
      <c r="K117" s="571">
        <v>0.23684210526315788</v>
      </c>
      <c r="L117" s="571">
        <v>0.5</v>
      </c>
      <c r="M117" s="571">
        <v>0.26315789473684209</v>
      </c>
      <c r="N117" s="571">
        <v>0</v>
      </c>
      <c r="O117" s="571">
        <v>0</v>
      </c>
      <c r="P117" s="571"/>
      <c r="Q117" s="572"/>
      <c r="S117" s="603">
        <f t="shared" si="19"/>
        <v>0</v>
      </c>
      <c r="T117" s="599">
        <f t="shared" si="20"/>
        <v>1</v>
      </c>
    </row>
    <row r="118" spans="1:20" ht="15">
      <c r="A118" s="1213"/>
      <c r="B118" s="564">
        <v>6</v>
      </c>
      <c r="C118" s="565" t="s">
        <v>1039</v>
      </c>
      <c r="D118" s="564" t="s">
        <v>770</v>
      </c>
      <c r="E118" s="696">
        <v>3390197.2404664205</v>
      </c>
      <c r="F118" s="566">
        <v>5</v>
      </c>
      <c r="G118" s="566">
        <v>5</v>
      </c>
      <c r="H118" s="566">
        <v>5</v>
      </c>
      <c r="I118" s="567">
        <v>1.9881186723518185</v>
      </c>
      <c r="J118" s="568">
        <v>1.3088126773682838</v>
      </c>
      <c r="K118" s="571">
        <v>8.3333333333333329E-2</v>
      </c>
      <c r="L118" s="571">
        <v>0.58333333333333337</v>
      </c>
      <c r="M118" s="571">
        <v>0.33333333333333331</v>
      </c>
      <c r="N118" s="571">
        <v>0</v>
      </c>
      <c r="O118" s="571">
        <v>0</v>
      </c>
      <c r="P118" s="571"/>
      <c r="Q118" s="572"/>
      <c r="S118" s="603">
        <f t="shared" si="19"/>
        <v>0</v>
      </c>
      <c r="T118" s="599">
        <f t="shared" si="20"/>
        <v>1</v>
      </c>
    </row>
    <row r="119" spans="1:20" ht="15">
      <c r="A119" s="1213"/>
      <c r="B119" s="564">
        <v>7</v>
      </c>
      <c r="C119" s="565" t="s">
        <v>1107</v>
      </c>
      <c r="D119" s="564" t="s">
        <v>771</v>
      </c>
      <c r="E119" s="696">
        <v>1306098</v>
      </c>
      <c r="F119" s="566">
        <v>4</v>
      </c>
      <c r="G119" s="566">
        <v>4</v>
      </c>
      <c r="H119" s="566">
        <v>4</v>
      </c>
      <c r="I119" s="567">
        <v>1.8860561874586299</v>
      </c>
      <c r="J119" s="568">
        <v>1.3064354950763004</v>
      </c>
      <c r="K119" s="571">
        <v>0.21153846153846156</v>
      </c>
      <c r="L119" s="571">
        <v>0.51923076923076927</v>
      </c>
      <c r="M119" s="571">
        <v>0.26923076923076922</v>
      </c>
      <c r="N119" s="571">
        <v>0</v>
      </c>
      <c r="O119" s="571">
        <v>0</v>
      </c>
      <c r="P119" s="571"/>
      <c r="Q119" s="572"/>
      <c r="S119" s="603">
        <f t="shared" si="19"/>
        <v>1</v>
      </c>
      <c r="T119" s="599">
        <f t="shared" si="20"/>
        <v>0</v>
      </c>
    </row>
    <row r="120" spans="1:20" ht="15">
      <c r="A120" s="1213"/>
      <c r="B120" s="564">
        <v>8</v>
      </c>
      <c r="C120" s="565" t="s">
        <v>1109</v>
      </c>
      <c r="D120" s="564" t="s">
        <v>771</v>
      </c>
      <c r="E120" s="696">
        <v>694377.74804733926</v>
      </c>
      <c r="F120" s="566">
        <v>5</v>
      </c>
      <c r="G120" s="566">
        <v>5</v>
      </c>
      <c r="H120" s="566">
        <v>5</v>
      </c>
      <c r="I120" s="567">
        <v>1.9881186723518185</v>
      </c>
      <c r="J120" s="568">
        <v>1.3088126773682838</v>
      </c>
      <c r="K120" s="571">
        <v>8.3333333333333329E-2</v>
      </c>
      <c r="L120" s="571">
        <v>0.58333333333333337</v>
      </c>
      <c r="M120" s="571">
        <v>0.33333333333333331</v>
      </c>
      <c r="N120" s="571">
        <v>0</v>
      </c>
      <c r="O120" s="571">
        <v>0</v>
      </c>
      <c r="P120" s="571"/>
      <c r="Q120" s="572"/>
      <c r="S120" s="603">
        <f t="shared" si="19"/>
        <v>1</v>
      </c>
      <c r="T120" s="599">
        <f t="shared" si="20"/>
        <v>0</v>
      </c>
    </row>
    <row r="121" spans="1:20" ht="15">
      <c r="A121" s="1213"/>
      <c r="B121" s="564">
        <v>9</v>
      </c>
      <c r="C121" s="565" t="s">
        <v>1037</v>
      </c>
      <c r="D121" s="564" t="s">
        <v>770</v>
      </c>
      <c r="E121" s="696">
        <v>643301.99999999988</v>
      </c>
      <c r="F121" s="566">
        <v>4</v>
      </c>
      <c r="G121" s="566">
        <v>4</v>
      </c>
      <c r="H121" s="566">
        <v>4</v>
      </c>
      <c r="I121" s="567">
        <v>1.8860561874586299</v>
      </c>
      <c r="J121" s="568">
        <v>1.3064354950763004</v>
      </c>
      <c r="K121" s="571">
        <v>0.21153846153846156</v>
      </c>
      <c r="L121" s="571">
        <v>0.51923076923076927</v>
      </c>
      <c r="M121" s="571">
        <v>0.26923076923076922</v>
      </c>
      <c r="N121" s="571">
        <v>0</v>
      </c>
      <c r="O121" s="571">
        <v>0</v>
      </c>
      <c r="P121" s="571"/>
      <c r="Q121" s="572"/>
      <c r="S121" s="603">
        <f t="shared" si="19"/>
        <v>0</v>
      </c>
      <c r="T121" s="599">
        <f t="shared" si="20"/>
        <v>1</v>
      </c>
    </row>
    <row r="122" spans="1:20" ht="15">
      <c r="A122" s="1213"/>
      <c r="B122" s="564">
        <v>10</v>
      </c>
      <c r="C122" s="565" t="s">
        <v>1085</v>
      </c>
      <c r="D122" s="564" t="s">
        <v>770</v>
      </c>
      <c r="E122" s="696">
        <v>300000</v>
      </c>
      <c r="F122" s="566">
        <v>8</v>
      </c>
      <c r="G122" s="566">
        <v>8</v>
      </c>
      <c r="H122" s="566">
        <v>8</v>
      </c>
      <c r="I122" s="567">
        <v>2.5339182573320693</v>
      </c>
      <c r="J122" s="568">
        <v>1.4830906068478693</v>
      </c>
      <c r="K122" s="571">
        <v>0.21153846153846154</v>
      </c>
      <c r="L122" s="571">
        <v>0.53846153846153844</v>
      </c>
      <c r="M122" s="571">
        <v>0.23076923076923078</v>
      </c>
      <c r="N122" s="571">
        <v>1.9230769230769232E-2</v>
      </c>
      <c r="O122" s="571">
        <v>0</v>
      </c>
      <c r="P122" s="571"/>
      <c r="Q122" s="572"/>
      <c r="S122" s="603">
        <f t="shared" si="19"/>
        <v>0</v>
      </c>
      <c r="T122" s="599">
        <f t="shared" si="20"/>
        <v>1</v>
      </c>
    </row>
    <row r="123" spans="1:20" ht="15">
      <c r="A123" s="1213"/>
      <c r="B123" s="564">
        <v>11</v>
      </c>
      <c r="C123" s="565"/>
      <c r="D123" s="564"/>
      <c r="E123" s="696"/>
      <c r="F123" s="566"/>
      <c r="G123" s="566"/>
      <c r="H123" s="566"/>
      <c r="I123" s="567"/>
      <c r="J123" s="568"/>
      <c r="K123" s="571"/>
      <c r="L123" s="571"/>
      <c r="M123" s="571"/>
      <c r="N123" s="571"/>
      <c r="O123" s="571"/>
      <c r="P123" s="571"/>
      <c r="Q123" s="572"/>
      <c r="S123" s="603">
        <f t="shared" si="19"/>
        <v>0</v>
      </c>
      <c r="T123" s="599">
        <f t="shared" si="20"/>
        <v>0</v>
      </c>
    </row>
    <row r="124" spans="1:20" ht="15">
      <c r="A124" s="1213"/>
      <c r="B124" s="564">
        <v>12</v>
      </c>
      <c r="C124" s="565"/>
      <c r="D124" s="564"/>
      <c r="E124" s="696"/>
      <c r="F124" s="566"/>
      <c r="G124" s="566"/>
      <c r="H124" s="566"/>
      <c r="I124" s="567"/>
      <c r="J124" s="568"/>
      <c r="K124" s="571"/>
      <c r="L124" s="571"/>
      <c r="M124" s="571"/>
      <c r="N124" s="571"/>
      <c r="O124" s="571"/>
      <c r="P124" s="571"/>
      <c r="Q124" s="572"/>
      <c r="S124" s="603">
        <f t="shared" si="19"/>
        <v>0</v>
      </c>
      <c r="T124" s="599">
        <f t="shared" si="20"/>
        <v>0</v>
      </c>
    </row>
    <row r="125" spans="1:20" ht="15">
      <c r="A125" s="1213"/>
      <c r="B125" s="564">
        <v>13</v>
      </c>
      <c r="C125" s="565"/>
      <c r="D125" s="564"/>
      <c r="E125" s="696"/>
      <c r="F125" s="566"/>
      <c r="G125" s="566"/>
      <c r="H125" s="566"/>
      <c r="I125" s="567"/>
      <c r="J125" s="568"/>
      <c r="K125" s="571"/>
      <c r="L125" s="571"/>
      <c r="M125" s="571"/>
      <c r="N125" s="571"/>
      <c r="O125" s="571"/>
      <c r="P125" s="571"/>
      <c r="Q125" s="572"/>
      <c r="S125" s="603">
        <f t="shared" si="19"/>
        <v>0</v>
      </c>
      <c r="T125" s="599">
        <f t="shared" si="20"/>
        <v>0</v>
      </c>
    </row>
    <row r="126" spans="1:20" ht="15">
      <c r="A126" s="1213"/>
      <c r="B126" s="564">
        <v>14</v>
      </c>
      <c r="C126" s="565"/>
      <c r="D126" s="564"/>
      <c r="E126" s="696"/>
      <c r="F126" s="566"/>
      <c r="G126" s="566"/>
      <c r="H126" s="566"/>
      <c r="I126" s="567"/>
      <c r="J126" s="568"/>
      <c r="K126" s="571"/>
      <c r="L126" s="571"/>
      <c r="M126" s="571"/>
      <c r="N126" s="571"/>
      <c r="O126" s="571"/>
      <c r="P126" s="571"/>
      <c r="Q126" s="572"/>
      <c r="S126" s="603">
        <f t="shared" si="19"/>
        <v>0</v>
      </c>
      <c r="T126" s="599">
        <f t="shared" si="20"/>
        <v>0</v>
      </c>
    </row>
    <row r="127" spans="1:20" ht="15">
      <c r="A127" s="1213"/>
      <c r="B127" s="564">
        <v>15</v>
      </c>
      <c r="C127" s="565"/>
      <c r="D127" s="564"/>
      <c r="E127" s="696"/>
      <c r="F127" s="566"/>
      <c r="G127" s="566"/>
      <c r="H127" s="566"/>
      <c r="I127" s="567"/>
      <c r="J127" s="568"/>
      <c r="K127" s="571"/>
      <c r="L127" s="571"/>
      <c r="M127" s="571"/>
      <c r="N127" s="571"/>
      <c r="O127" s="571"/>
      <c r="P127" s="571"/>
      <c r="Q127" s="572"/>
      <c r="S127" s="603">
        <f t="shared" si="19"/>
        <v>0</v>
      </c>
      <c r="T127" s="599">
        <f t="shared" si="20"/>
        <v>0</v>
      </c>
    </row>
    <row r="128" spans="1:20" ht="15">
      <c r="A128" s="1213"/>
      <c r="B128" s="564">
        <v>16</v>
      </c>
      <c r="C128" s="565"/>
      <c r="D128" s="564"/>
      <c r="E128" s="696"/>
      <c r="F128" s="566"/>
      <c r="G128" s="566"/>
      <c r="H128" s="566"/>
      <c r="I128" s="567"/>
      <c r="J128" s="568"/>
      <c r="K128" s="571"/>
      <c r="L128" s="571"/>
      <c r="M128" s="571"/>
      <c r="N128" s="571"/>
      <c r="O128" s="571"/>
      <c r="P128" s="571"/>
      <c r="Q128" s="572"/>
      <c r="S128" s="603">
        <f t="shared" si="19"/>
        <v>0</v>
      </c>
      <c r="T128" s="599">
        <f t="shared" si="20"/>
        <v>0</v>
      </c>
    </row>
    <row r="129" spans="1:20" ht="15">
      <c r="A129" s="1213"/>
      <c r="B129" s="564">
        <v>17</v>
      </c>
      <c r="C129" s="565"/>
      <c r="D129" s="564"/>
      <c r="E129" s="696"/>
      <c r="F129" s="566"/>
      <c r="G129" s="566"/>
      <c r="H129" s="566"/>
      <c r="I129" s="567"/>
      <c r="J129" s="567"/>
      <c r="K129" s="567"/>
      <c r="L129" s="567"/>
      <c r="M129" s="567"/>
      <c r="N129" s="567"/>
      <c r="O129" s="567"/>
      <c r="P129" s="567"/>
      <c r="Q129" s="692"/>
      <c r="S129" s="603">
        <f t="shared" si="19"/>
        <v>0</v>
      </c>
      <c r="T129" s="599">
        <f t="shared" si="20"/>
        <v>0</v>
      </c>
    </row>
    <row r="130" spans="1:20" ht="15">
      <c r="A130" s="1213"/>
      <c r="B130" s="564">
        <v>18</v>
      </c>
      <c r="C130" s="565"/>
      <c r="D130" s="564"/>
      <c r="E130" s="696"/>
      <c r="F130" s="566"/>
      <c r="G130" s="566"/>
      <c r="H130" s="566"/>
      <c r="I130" s="567"/>
      <c r="J130" s="567"/>
      <c r="K130" s="567"/>
      <c r="L130" s="567"/>
      <c r="M130" s="567"/>
      <c r="N130" s="567"/>
      <c r="O130" s="567"/>
      <c r="P130" s="567"/>
      <c r="Q130" s="692"/>
      <c r="S130" s="603">
        <f t="shared" si="19"/>
        <v>0</v>
      </c>
      <c r="T130" s="599">
        <f t="shared" si="20"/>
        <v>0</v>
      </c>
    </row>
    <row r="131" spans="1:20" ht="15">
      <c r="A131" s="1213"/>
      <c r="B131" s="564">
        <v>19</v>
      </c>
      <c r="C131" s="565"/>
      <c r="D131" s="564"/>
      <c r="E131" s="696"/>
      <c r="F131" s="566"/>
      <c r="G131" s="566"/>
      <c r="H131" s="566"/>
      <c r="I131" s="567"/>
      <c r="J131" s="567"/>
      <c r="K131" s="567"/>
      <c r="L131" s="567"/>
      <c r="M131" s="567"/>
      <c r="N131" s="567"/>
      <c r="O131" s="567"/>
      <c r="P131" s="567"/>
      <c r="Q131" s="692"/>
      <c r="S131" s="603">
        <f t="shared" si="19"/>
        <v>0</v>
      </c>
      <c r="T131" s="599">
        <f t="shared" si="20"/>
        <v>0</v>
      </c>
    </row>
    <row r="132" spans="1:20" ht="15">
      <c r="A132" s="1213"/>
      <c r="B132" s="564">
        <v>20</v>
      </c>
      <c r="C132" s="565"/>
      <c r="D132" s="564"/>
      <c r="E132" s="696"/>
      <c r="F132" s="566"/>
      <c r="G132" s="566"/>
      <c r="H132" s="566"/>
      <c r="I132" s="567"/>
      <c r="J132" s="567"/>
      <c r="K132" s="567"/>
      <c r="L132" s="567"/>
      <c r="M132" s="567"/>
      <c r="N132" s="567"/>
      <c r="O132" s="567"/>
      <c r="P132" s="567"/>
      <c r="Q132" s="692"/>
      <c r="S132" s="603">
        <f t="shared" si="19"/>
        <v>0</v>
      </c>
      <c r="T132" s="599">
        <f t="shared" si="20"/>
        <v>0</v>
      </c>
    </row>
    <row r="133" spans="1:20" ht="15">
      <c r="A133" s="1213"/>
      <c r="B133" s="564">
        <v>21</v>
      </c>
      <c r="C133" s="565"/>
      <c r="D133" s="564"/>
      <c r="E133" s="696"/>
      <c r="F133" s="566"/>
      <c r="G133" s="566"/>
      <c r="H133" s="566"/>
      <c r="I133" s="567"/>
      <c r="J133" s="567"/>
      <c r="K133" s="567"/>
      <c r="L133" s="567"/>
      <c r="M133" s="567"/>
      <c r="N133" s="567"/>
      <c r="O133" s="567"/>
      <c r="P133" s="567"/>
      <c r="Q133" s="692"/>
      <c r="S133" s="603">
        <f t="shared" si="19"/>
        <v>0</v>
      </c>
      <c r="T133" s="599">
        <f t="shared" si="20"/>
        <v>0</v>
      </c>
    </row>
    <row r="134" spans="1:20" ht="15">
      <c r="A134" s="1213"/>
      <c r="B134" s="564">
        <v>22</v>
      </c>
      <c r="C134" s="565"/>
      <c r="D134" s="564"/>
      <c r="E134" s="696"/>
      <c r="F134" s="566"/>
      <c r="G134" s="566"/>
      <c r="H134" s="566"/>
      <c r="I134" s="567"/>
      <c r="J134" s="567"/>
      <c r="K134" s="567"/>
      <c r="L134" s="567"/>
      <c r="M134" s="567"/>
      <c r="N134" s="567"/>
      <c r="O134" s="567"/>
      <c r="P134" s="567"/>
      <c r="Q134" s="692"/>
      <c r="S134" s="603">
        <f t="shared" si="19"/>
        <v>0</v>
      </c>
      <c r="T134" s="599">
        <f t="shared" si="20"/>
        <v>0</v>
      </c>
    </row>
    <row r="135" spans="1:20" ht="15">
      <c r="A135" s="1213"/>
      <c r="B135" s="564">
        <v>23</v>
      </c>
      <c r="C135" s="565"/>
      <c r="D135" s="564"/>
      <c r="E135" s="696"/>
      <c r="F135" s="566"/>
      <c r="G135" s="566"/>
      <c r="H135" s="566"/>
      <c r="I135" s="567"/>
      <c r="J135" s="567"/>
      <c r="K135" s="567"/>
      <c r="L135" s="567"/>
      <c r="M135" s="567"/>
      <c r="N135" s="567"/>
      <c r="O135" s="567"/>
      <c r="P135" s="567"/>
      <c r="Q135" s="692"/>
      <c r="S135" s="603">
        <f t="shared" si="19"/>
        <v>0</v>
      </c>
      <c r="T135" s="599">
        <f t="shared" si="20"/>
        <v>0</v>
      </c>
    </row>
    <row r="136" spans="1:20" ht="15">
      <c r="A136" s="1213"/>
      <c r="B136" s="564">
        <v>24</v>
      </c>
      <c r="C136" s="565"/>
      <c r="D136" s="564"/>
      <c r="E136" s="696"/>
      <c r="F136" s="566"/>
      <c r="G136" s="566"/>
      <c r="H136" s="566"/>
      <c r="I136" s="567"/>
      <c r="J136" s="567"/>
      <c r="K136" s="567"/>
      <c r="L136" s="567"/>
      <c r="M136" s="567"/>
      <c r="N136" s="567"/>
      <c r="O136" s="567"/>
      <c r="P136" s="567"/>
      <c r="Q136" s="692"/>
      <c r="S136" s="603">
        <f t="shared" si="19"/>
        <v>0</v>
      </c>
      <c r="T136" s="599">
        <f t="shared" si="20"/>
        <v>0</v>
      </c>
    </row>
    <row r="137" spans="1:20" ht="15">
      <c r="A137" s="1213"/>
      <c r="B137" s="564">
        <v>25</v>
      </c>
      <c r="C137" s="565"/>
      <c r="D137" s="564"/>
      <c r="E137" s="696"/>
      <c r="F137" s="566"/>
      <c r="G137" s="566"/>
      <c r="H137" s="566"/>
      <c r="I137" s="567"/>
      <c r="J137" s="567"/>
      <c r="K137" s="567"/>
      <c r="L137" s="567"/>
      <c r="M137" s="567"/>
      <c r="N137" s="567"/>
      <c r="O137" s="567"/>
      <c r="P137" s="567"/>
      <c r="Q137" s="692"/>
      <c r="S137" s="603">
        <f t="shared" si="19"/>
        <v>0</v>
      </c>
      <c r="T137" s="599">
        <f t="shared" si="20"/>
        <v>0</v>
      </c>
    </row>
    <row r="138" spans="1:20" ht="15">
      <c r="A138" s="1213"/>
      <c r="B138" s="564">
        <v>26</v>
      </c>
      <c r="C138" s="565"/>
      <c r="D138" s="564"/>
      <c r="E138" s="696"/>
      <c r="F138" s="695"/>
      <c r="G138" s="695"/>
      <c r="H138" s="695"/>
      <c r="I138" s="693"/>
      <c r="J138" s="693"/>
      <c r="K138" s="693"/>
      <c r="L138" s="693"/>
      <c r="M138" s="693"/>
      <c r="N138" s="693"/>
      <c r="O138" s="693"/>
      <c r="P138" s="693"/>
      <c r="Q138" s="694"/>
      <c r="S138" s="603">
        <f t="shared" si="19"/>
        <v>0</v>
      </c>
      <c r="T138" s="599">
        <f t="shared" si="20"/>
        <v>0</v>
      </c>
    </row>
    <row r="139" spans="1:20" ht="15">
      <c r="A139" s="1213"/>
      <c r="B139" s="564">
        <v>27</v>
      </c>
      <c r="C139" s="565"/>
      <c r="D139" s="564"/>
      <c r="E139" s="697"/>
      <c r="F139" s="695"/>
      <c r="G139" s="695"/>
      <c r="H139" s="695"/>
      <c r="I139" s="693"/>
      <c r="J139" s="693"/>
      <c r="K139" s="693"/>
      <c r="L139" s="693"/>
      <c r="M139" s="693"/>
      <c r="N139" s="693"/>
      <c r="O139" s="693"/>
      <c r="P139" s="693"/>
      <c r="Q139" s="694"/>
      <c r="S139" s="603">
        <f t="shared" si="19"/>
        <v>0</v>
      </c>
      <c r="T139" s="599">
        <f t="shared" si="20"/>
        <v>0</v>
      </c>
    </row>
    <row r="140" spans="1:20" ht="15">
      <c r="A140" s="1213"/>
      <c r="B140" s="564">
        <v>28</v>
      </c>
      <c r="C140" s="565"/>
      <c r="D140" s="564"/>
      <c r="E140" s="697"/>
      <c r="F140" s="695"/>
      <c r="G140" s="695"/>
      <c r="H140" s="695"/>
      <c r="I140" s="693"/>
      <c r="J140" s="693"/>
      <c r="K140" s="693"/>
      <c r="L140" s="693"/>
      <c r="M140" s="693"/>
      <c r="N140" s="693"/>
      <c r="O140" s="693"/>
      <c r="P140" s="693"/>
      <c r="Q140" s="694"/>
      <c r="S140" s="603">
        <f t="shared" si="19"/>
        <v>0</v>
      </c>
      <c r="T140" s="599">
        <f t="shared" si="20"/>
        <v>0</v>
      </c>
    </row>
    <row r="141" spans="1:20" ht="15">
      <c r="A141" s="1213"/>
      <c r="B141" s="564">
        <v>29</v>
      </c>
      <c r="C141" s="565"/>
      <c r="D141" s="564"/>
      <c r="E141" s="697"/>
      <c r="F141" s="695"/>
      <c r="G141" s="695"/>
      <c r="H141" s="695"/>
      <c r="I141" s="693"/>
      <c r="J141" s="693"/>
      <c r="K141" s="693"/>
      <c r="L141" s="693"/>
      <c r="M141" s="693"/>
      <c r="N141" s="693"/>
      <c r="O141" s="693"/>
      <c r="P141" s="693"/>
      <c r="Q141" s="694"/>
      <c r="S141" s="603">
        <f t="shared" si="19"/>
        <v>0</v>
      </c>
      <c r="T141" s="599">
        <f t="shared" si="20"/>
        <v>0</v>
      </c>
    </row>
    <row r="142" spans="1:20" ht="15">
      <c r="A142" s="1213"/>
      <c r="B142" s="564">
        <v>30</v>
      </c>
      <c r="C142" s="565"/>
      <c r="D142" s="564"/>
      <c r="E142" s="697"/>
      <c r="F142" s="695"/>
      <c r="G142" s="695"/>
      <c r="H142" s="695"/>
      <c r="I142" s="693"/>
      <c r="J142" s="693"/>
      <c r="K142" s="693"/>
      <c r="L142" s="693"/>
      <c r="M142" s="693"/>
      <c r="N142" s="693"/>
      <c r="O142" s="693"/>
      <c r="P142" s="693"/>
      <c r="Q142" s="694"/>
      <c r="S142" s="603">
        <f t="shared" si="19"/>
        <v>0</v>
      </c>
      <c r="T142" s="599">
        <f t="shared" si="20"/>
        <v>0</v>
      </c>
    </row>
    <row r="143" spans="1:20" ht="15">
      <c r="A143" s="1213"/>
      <c r="B143" s="564">
        <v>31</v>
      </c>
      <c r="C143" s="565"/>
      <c r="D143" s="564"/>
      <c r="E143" s="696"/>
      <c r="F143" s="566"/>
      <c r="G143" s="566"/>
      <c r="H143" s="566"/>
      <c r="I143" s="567"/>
      <c r="J143" s="567"/>
      <c r="K143" s="567"/>
      <c r="L143" s="567"/>
      <c r="M143" s="567"/>
      <c r="N143" s="567"/>
      <c r="O143" s="567"/>
      <c r="P143" s="567"/>
      <c r="Q143" s="692"/>
      <c r="S143" s="603">
        <f t="shared" si="19"/>
        <v>0</v>
      </c>
      <c r="T143" s="599">
        <f t="shared" si="20"/>
        <v>0</v>
      </c>
    </row>
    <row r="144" spans="1:20" ht="15">
      <c r="A144" s="1213"/>
      <c r="B144" s="564">
        <v>32</v>
      </c>
      <c r="C144" s="565"/>
      <c r="D144" s="564"/>
      <c r="E144" s="696"/>
      <c r="F144" s="566"/>
      <c r="G144" s="566"/>
      <c r="H144" s="566"/>
      <c r="I144" s="567"/>
      <c r="J144" s="567"/>
      <c r="K144" s="567"/>
      <c r="L144" s="567"/>
      <c r="M144" s="567"/>
      <c r="N144" s="567"/>
      <c r="O144" s="567"/>
      <c r="P144" s="567"/>
      <c r="Q144" s="692"/>
      <c r="S144" s="603">
        <f t="shared" si="19"/>
        <v>0</v>
      </c>
      <c r="T144" s="599">
        <f t="shared" si="20"/>
        <v>0</v>
      </c>
    </row>
    <row r="145" spans="1:20" ht="15">
      <c r="A145" s="1213"/>
      <c r="B145" s="564">
        <v>33</v>
      </c>
      <c r="C145" s="565"/>
      <c r="D145" s="564"/>
      <c r="E145" s="696"/>
      <c r="F145" s="566"/>
      <c r="G145" s="566"/>
      <c r="H145" s="566"/>
      <c r="I145" s="567"/>
      <c r="J145" s="567"/>
      <c r="K145" s="567"/>
      <c r="L145" s="567"/>
      <c r="M145" s="567"/>
      <c r="N145" s="567"/>
      <c r="O145" s="567"/>
      <c r="P145" s="567"/>
      <c r="Q145" s="692"/>
      <c r="S145" s="603">
        <f t="shared" si="19"/>
        <v>0</v>
      </c>
      <c r="T145" s="599">
        <f t="shared" si="20"/>
        <v>0</v>
      </c>
    </row>
    <row r="146" spans="1:20" ht="15">
      <c r="A146" s="1213"/>
      <c r="B146" s="564">
        <v>34</v>
      </c>
      <c r="C146" s="565"/>
      <c r="D146" s="564"/>
      <c r="E146" s="696"/>
      <c r="F146" s="566"/>
      <c r="G146" s="566"/>
      <c r="H146" s="566"/>
      <c r="I146" s="567"/>
      <c r="J146" s="567"/>
      <c r="K146" s="567"/>
      <c r="L146" s="567"/>
      <c r="M146" s="567"/>
      <c r="N146" s="567"/>
      <c r="O146" s="567"/>
      <c r="P146" s="567"/>
      <c r="Q146" s="692"/>
      <c r="S146" s="603">
        <f t="shared" si="19"/>
        <v>0</v>
      </c>
      <c r="T146" s="599">
        <f t="shared" si="20"/>
        <v>0</v>
      </c>
    </row>
    <row r="147" spans="1:20" ht="15">
      <c r="A147" s="1213"/>
      <c r="B147" s="564">
        <v>35</v>
      </c>
      <c r="C147" s="565"/>
      <c r="D147" s="564"/>
      <c r="E147" s="696"/>
      <c r="F147" s="566"/>
      <c r="G147" s="566"/>
      <c r="H147" s="566"/>
      <c r="I147" s="567"/>
      <c r="J147" s="567"/>
      <c r="K147" s="567"/>
      <c r="L147" s="567"/>
      <c r="M147" s="567"/>
      <c r="N147" s="567"/>
      <c r="O147" s="567"/>
      <c r="P147" s="567"/>
      <c r="Q147" s="692"/>
      <c r="S147" s="603">
        <f t="shared" si="19"/>
        <v>0</v>
      </c>
      <c r="T147" s="599">
        <f t="shared" si="20"/>
        <v>0</v>
      </c>
    </row>
    <row r="148" spans="1:20" ht="15">
      <c r="A148" s="1213"/>
      <c r="B148" s="564">
        <v>36</v>
      </c>
      <c r="C148" s="565"/>
      <c r="D148" s="564"/>
      <c r="E148" s="696"/>
      <c r="F148" s="566"/>
      <c r="G148" s="566"/>
      <c r="H148" s="566"/>
      <c r="I148" s="567"/>
      <c r="J148" s="567"/>
      <c r="K148" s="567"/>
      <c r="L148" s="567"/>
      <c r="M148" s="567"/>
      <c r="N148" s="567"/>
      <c r="O148" s="567"/>
      <c r="P148" s="567"/>
      <c r="Q148" s="692"/>
      <c r="S148" s="603">
        <f t="shared" si="19"/>
        <v>0</v>
      </c>
      <c r="T148" s="599">
        <f t="shared" si="20"/>
        <v>0</v>
      </c>
    </row>
    <row r="149" spans="1:20" ht="15">
      <c r="A149" s="1213"/>
      <c r="B149" s="564">
        <v>37</v>
      </c>
      <c r="C149" s="565"/>
      <c r="D149" s="564"/>
      <c r="E149" s="696"/>
      <c r="F149" s="566"/>
      <c r="G149" s="566"/>
      <c r="H149" s="566"/>
      <c r="I149" s="567"/>
      <c r="J149" s="567"/>
      <c r="K149" s="567"/>
      <c r="L149" s="567"/>
      <c r="M149" s="567"/>
      <c r="N149" s="567"/>
      <c r="O149" s="567"/>
      <c r="P149" s="567"/>
      <c r="Q149" s="692"/>
      <c r="S149" s="603">
        <f t="shared" si="19"/>
        <v>0</v>
      </c>
      <c r="T149" s="599">
        <f t="shared" si="20"/>
        <v>0</v>
      </c>
    </row>
    <row r="150" spans="1:20" ht="15">
      <c r="A150" s="1213"/>
      <c r="B150" s="564">
        <v>38</v>
      </c>
      <c r="C150" s="565"/>
      <c r="D150" s="564"/>
      <c r="E150" s="696"/>
      <c r="F150" s="566"/>
      <c r="G150" s="566"/>
      <c r="H150" s="566"/>
      <c r="I150" s="567"/>
      <c r="J150" s="567"/>
      <c r="K150" s="567"/>
      <c r="L150" s="567"/>
      <c r="M150" s="567"/>
      <c r="N150" s="567"/>
      <c r="O150" s="567"/>
      <c r="P150" s="567"/>
      <c r="Q150" s="692"/>
      <c r="S150" s="603">
        <f t="shared" si="19"/>
        <v>0</v>
      </c>
      <c r="T150" s="599">
        <f t="shared" si="20"/>
        <v>0</v>
      </c>
    </row>
    <row r="151" spans="1:20" ht="15">
      <c r="A151" s="1213"/>
      <c r="B151" s="564">
        <v>39</v>
      </c>
      <c r="C151" s="565"/>
      <c r="D151" s="564"/>
      <c r="E151" s="696"/>
      <c r="F151" s="566"/>
      <c r="G151" s="566"/>
      <c r="H151" s="566"/>
      <c r="I151" s="567"/>
      <c r="J151" s="567"/>
      <c r="K151" s="567"/>
      <c r="L151" s="567"/>
      <c r="M151" s="567"/>
      <c r="N151" s="567"/>
      <c r="O151" s="567"/>
      <c r="P151" s="567"/>
      <c r="Q151" s="692"/>
      <c r="S151" s="603">
        <f t="shared" si="19"/>
        <v>0</v>
      </c>
      <c r="T151" s="599">
        <f t="shared" si="20"/>
        <v>0</v>
      </c>
    </row>
    <row r="152" spans="1:20" ht="15.75" thickBot="1">
      <c r="A152" s="1213"/>
      <c r="B152" s="564">
        <v>40</v>
      </c>
      <c r="C152" s="565"/>
      <c r="D152" s="564"/>
      <c r="E152" s="696"/>
      <c r="F152" s="566"/>
      <c r="G152" s="566"/>
      <c r="H152" s="566"/>
      <c r="I152" s="567"/>
      <c r="J152" s="567"/>
      <c r="K152" s="567"/>
      <c r="L152" s="567"/>
      <c r="M152" s="567"/>
      <c r="N152" s="567"/>
      <c r="O152" s="567"/>
      <c r="P152" s="567"/>
      <c r="Q152" s="692"/>
      <c r="S152" s="604">
        <f t="shared" si="19"/>
        <v>0</v>
      </c>
      <c r="T152" s="600">
        <f t="shared" si="20"/>
        <v>0</v>
      </c>
    </row>
    <row r="153" spans="1:20" ht="15.75" thickBot="1">
      <c r="A153" s="1213"/>
      <c r="B153" s="576"/>
      <c r="C153" s="576"/>
      <c r="D153" s="576"/>
      <c r="E153" s="576"/>
      <c r="F153" s="576"/>
      <c r="G153" s="576"/>
      <c r="H153" s="576"/>
      <c r="I153" s="576"/>
      <c r="J153" s="576"/>
      <c r="K153" s="576"/>
      <c r="L153" s="576"/>
      <c r="M153" s="576"/>
      <c r="N153" s="576"/>
      <c r="O153" s="576"/>
      <c r="P153" s="576"/>
      <c r="Q153" s="576"/>
    </row>
    <row r="154" spans="1:20" ht="15">
      <c r="A154" s="1213"/>
      <c r="B154" s="613"/>
      <c r="C154" s="614"/>
      <c r="D154" s="617" t="s">
        <v>968</v>
      </c>
      <c r="E154" s="577">
        <f>SUMPRODUCT(T113:T152,E113:E152)</f>
        <v>29217887.24046642</v>
      </c>
      <c r="F154" s="578"/>
      <c r="G154" s="578"/>
      <c r="H154" s="578"/>
      <c r="I154" s="579"/>
      <c r="J154" s="580"/>
      <c r="K154" s="581"/>
      <c r="L154" s="581"/>
      <c r="M154" s="581"/>
      <c r="N154" s="581"/>
      <c r="O154" s="581"/>
      <c r="P154" s="581"/>
      <c r="Q154" s="582"/>
      <c r="S154" s="606">
        <f>SUM(S113:S152)</f>
        <v>4</v>
      </c>
      <c r="T154" s="606">
        <f>SUM(T113:T152)</f>
        <v>6</v>
      </c>
    </row>
    <row r="155" spans="1:20" ht="15.75" thickBot="1">
      <c r="A155" s="1213"/>
      <c r="B155" s="615"/>
      <c r="C155" s="616"/>
      <c r="D155" s="618" t="s">
        <v>969</v>
      </c>
      <c r="E155" s="583"/>
      <c r="F155" s="584">
        <f>IF($T154=0,0,(SUMPRODUCT($T113:$T152,F113:F152,$E113:$E152)/$E154))</f>
        <v>4.0936209116680393</v>
      </c>
      <c r="G155" s="584">
        <f t="shared" ref="G155" si="21">IF($T154=0,0,(SUMPRODUCT($T113:$T152,G113:G152,$E113:$E152)/$E154))</f>
        <v>4.3986758229504508</v>
      </c>
      <c r="H155" s="584">
        <f t="shared" ref="H155" si="22">IF($T154=0,0,(SUMPRODUCT($T113:$T152,H113:H152,$E113:$E152)/$E154))</f>
        <v>4.5512032785916565</v>
      </c>
      <c r="I155" s="585">
        <f t="shared" ref="I155:Q155" si="23">IF($T154=0,0,(SUMPRODUCT($T113:$T152,I113:I152,$E113:$E152)/$E154))</f>
        <v>2.0570576011722652</v>
      </c>
      <c r="J155" s="586">
        <f t="shared" si="23"/>
        <v>1.3641783638385592</v>
      </c>
      <c r="K155" s="587">
        <f t="shared" si="23"/>
        <v>0.1512955985003864</v>
      </c>
      <c r="L155" s="587">
        <f t="shared" si="23"/>
        <v>0.69765013239775198</v>
      </c>
      <c r="M155" s="587">
        <f t="shared" si="23"/>
        <v>0.14103974206675568</v>
      </c>
      <c r="N155" s="587">
        <f t="shared" si="23"/>
        <v>1.0014527035105728E-2</v>
      </c>
      <c r="O155" s="587">
        <f t="shared" si="23"/>
        <v>0</v>
      </c>
      <c r="P155" s="587">
        <f t="shared" si="23"/>
        <v>0</v>
      </c>
      <c r="Q155" s="588">
        <f t="shared" si="23"/>
        <v>0</v>
      </c>
    </row>
    <row r="156" spans="1:20" ht="15">
      <c r="A156" s="1213"/>
      <c r="B156" s="613"/>
      <c r="C156" s="614"/>
      <c r="D156" s="617" t="s">
        <v>970</v>
      </c>
      <c r="E156" s="577">
        <f>SUMPRODUCT(S113:S152,E113:E152)</f>
        <v>18341085.748047341</v>
      </c>
      <c r="F156" s="578"/>
      <c r="G156" s="578"/>
      <c r="H156" s="578"/>
      <c r="I156" s="579"/>
      <c r="J156" s="589"/>
      <c r="K156" s="581"/>
      <c r="L156" s="581"/>
      <c r="M156" s="581"/>
      <c r="N156" s="581"/>
      <c r="O156" s="581"/>
      <c r="P156" s="581"/>
      <c r="Q156" s="582"/>
    </row>
    <row r="157" spans="1:20" ht="15.75" thickBot="1">
      <c r="A157" s="1213"/>
      <c r="B157" s="615"/>
      <c r="C157" s="616"/>
      <c r="D157" s="618" t="s">
        <v>971</v>
      </c>
      <c r="E157" s="583"/>
      <c r="F157" s="584">
        <f>IF($S154=0,0,(SUMPRODUCT($S113:$S152,F113:F152,$E113:$E152)/$E156))</f>
        <v>3.1469298782587933</v>
      </c>
      <c r="G157" s="584">
        <f t="shared" ref="G157" si="24">IF($S154=0,0,(SUMPRODUCT($S113:$S152,G113:G152,$E113:$E152)/$E156))</f>
        <v>3.7408827199633681</v>
      </c>
      <c r="H157" s="584">
        <f t="shared" ref="H157" si="25">IF($S154=0,0,(SUMPRODUCT($S113:$S152,H113:H152,$E113:$E152)/$E156))</f>
        <v>4.0378591408156552</v>
      </c>
      <c r="I157" s="585">
        <f t="shared" ref="I157:Q157" si="26">IF($S154=0,0,(SUMPRODUCT($S113:$S152,I113:I152,$E113:$E152)/$E156))</f>
        <v>1.8899201854461971</v>
      </c>
      <c r="J157" s="586">
        <f t="shared" si="26"/>
        <v>1.3065254931554371</v>
      </c>
      <c r="K157" s="587">
        <f t="shared" si="26"/>
        <v>0.24230661226237665</v>
      </c>
      <c r="L157" s="587">
        <f t="shared" si="26"/>
        <v>0.52363857230285316</v>
      </c>
      <c r="M157" s="587">
        <f t="shared" si="26"/>
        <v>0.21494062531451932</v>
      </c>
      <c r="N157" s="587">
        <f t="shared" si="26"/>
        <v>1.9114190120250844E-2</v>
      </c>
      <c r="O157" s="587">
        <f t="shared" si="26"/>
        <v>0</v>
      </c>
      <c r="P157" s="587">
        <f t="shared" si="26"/>
        <v>0</v>
      </c>
      <c r="Q157" s="588">
        <f t="shared" si="26"/>
        <v>0</v>
      </c>
    </row>
    <row r="158" spans="1:20" ht="15">
      <c r="A158" s="1213"/>
      <c r="B158" s="613"/>
      <c r="C158" s="614"/>
      <c r="D158" s="617" t="s">
        <v>972</v>
      </c>
      <c r="E158" s="577">
        <f>SUM(E113:E152)</f>
        <v>47558972.98851376</v>
      </c>
      <c r="F158" s="578"/>
      <c r="G158" s="578"/>
      <c r="H158" s="578"/>
      <c r="I158" s="579"/>
      <c r="J158" s="580"/>
      <c r="K158" s="581"/>
      <c r="L158" s="581"/>
      <c r="M158" s="581"/>
      <c r="N158" s="581"/>
      <c r="O158" s="581"/>
      <c r="P158" s="581"/>
      <c r="Q158" s="582"/>
    </row>
    <row r="159" spans="1:20" ht="15.75" thickBot="1">
      <c r="A159" s="593"/>
      <c r="B159" s="615"/>
      <c r="C159" s="616"/>
      <c r="D159" s="618" t="s">
        <v>973</v>
      </c>
      <c r="E159" s="583"/>
      <c r="F159" s="584">
        <f>SUMPRODUCT($E113:$E152,F113:F152)/$E158</f>
        <v>3.7285301552957337</v>
      </c>
      <c r="G159" s="584">
        <f t="shared" ref="G159" si="27">SUMPRODUCT($E113:$E152,G113:G152)/$E158</f>
        <v>4.1449983579371921</v>
      </c>
      <c r="H159" s="584">
        <f t="shared" ref="H159" si="28">SUMPRODUCT($E113:$E152,H113:H152)/$E158</f>
        <v>4.3532324592579217</v>
      </c>
      <c r="I159" s="585">
        <f t="shared" ref="I159:Q159" si="29">SUMPRODUCT($E113:$E152,I113:I152)/$E158</f>
        <v>1.9926011699057784</v>
      </c>
      <c r="J159" s="586">
        <f t="shared" si="29"/>
        <v>1.341944573275512</v>
      </c>
      <c r="K159" s="801">
        <f t="shared" si="29"/>
        <v>0.18639393436706977</v>
      </c>
      <c r="L159" s="801">
        <f t="shared" si="29"/>
        <v>0.63054269200742141</v>
      </c>
      <c r="M159" s="801">
        <f t="shared" si="29"/>
        <v>0.16953956767970627</v>
      </c>
      <c r="N159" s="801">
        <f t="shared" si="29"/>
        <v>1.3523805945802474E-2</v>
      </c>
      <c r="O159" s="587">
        <f t="shared" si="29"/>
        <v>0</v>
      </c>
      <c r="P159" s="587">
        <f t="shared" si="29"/>
        <v>0</v>
      </c>
      <c r="Q159" s="588">
        <f t="shared" si="29"/>
        <v>0</v>
      </c>
    </row>
    <row r="160" spans="1:20" ht="15">
      <c r="A160" s="557"/>
      <c r="B160" s="557"/>
      <c r="C160" s="557"/>
      <c r="D160" s="557"/>
      <c r="E160" s="557"/>
      <c r="F160" s="557"/>
      <c r="G160" s="557"/>
      <c r="H160" s="557"/>
      <c r="I160" s="557"/>
      <c r="J160" s="590"/>
      <c r="K160" s="557"/>
      <c r="L160" s="557"/>
      <c r="M160" s="557"/>
      <c r="N160" s="557"/>
      <c r="O160" s="557"/>
      <c r="P160" s="557"/>
      <c r="Q160" s="557"/>
    </row>
    <row r="161" spans="1:20" ht="15">
      <c r="A161" s="591"/>
      <c r="B161" s="554"/>
      <c r="C161" s="591"/>
      <c r="D161" s="591"/>
      <c r="E161" s="591"/>
      <c r="F161" s="591"/>
      <c r="G161" s="591"/>
      <c r="H161" s="591"/>
      <c r="I161" s="591"/>
      <c r="J161" s="591"/>
      <c r="K161" s="554"/>
      <c r="L161" s="591"/>
      <c r="M161" s="591"/>
      <c r="N161" s="591"/>
      <c r="O161" s="591"/>
      <c r="P161" s="591"/>
      <c r="Q161" s="591"/>
      <c r="R161" s="592"/>
    </row>
    <row r="162" spans="1:20" ht="15">
      <c r="A162" s="557"/>
      <c r="B162" s="799" t="s">
        <v>1173</v>
      </c>
      <c r="C162" s="800" t="s">
        <v>1183</v>
      </c>
      <c r="D162" s="557"/>
      <c r="E162" s="557"/>
      <c r="F162" s="557"/>
      <c r="G162" s="557"/>
      <c r="H162" s="557"/>
      <c r="I162" s="557"/>
      <c r="J162" s="557"/>
      <c r="K162" s="557"/>
      <c r="L162" s="557"/>
      <c r="M162" s="557"/>
      <c r="N162" s="557"/>
      <c r="O162" s="557"/>
      <c r="P162" s="557"/>
      <c r="Q162" s="557"/>
    </row>
    <row r="163" spans="1:20" ht="15" customHeight="1" thickBot="1">
      <c r="A163" s="557"/>
      <c r="B163" s="799" t="s">
        <v>1174</v>
      </c>
      <c r="C163" s="800" t="s">
        <v>1184</v>
      </c>
      <c r="D163" s="557"/>
      <c r="E163" s="557"/>
      <c r="F163" s="608"/>
      <c r="G163" s="609" t="s">
        <v>173</v>
      </c>
      <c r="H163" s="609"/>
      <c r="I163" s="557"/>
      <c r="J163" s="557"/>
      <c r="K163" s="610"/>
      <c r="L163" s="611"/>
      <c r="M163" s="611" t="s">
        <v>954</v>
      </c>
      <c r="N163" s="611"/>
      <c r="O163" s="611"/>
      <c r="P163" s="611"/>
      <c r="Q163" s="612"/>
    </row>
    <row r="164" spans="1:20" ht="30.75" customHeight="1" thickBot="1">
      <c r="A164" s="1213" t="s">
        <v>1227</v>
      </c>
      <c r="B164" s="558" t="s">
        <v>955</v>
      </c>
      <c r="C164" s="559" t="s">
        <v>104</v>
      </c>
      <c r="D164" s="558" t="s">
        <v>769</v>
      </c>
      <c r="E164" s="558" t="s">
        <v>255</v>
      </c>
      <c r="F164" s="560" t="s">
        <v>956</v>
      </c>
      <c r="G164" s="560" t="s">
        <v>957</v>
      </c>
      <c r="H164" s="560" t="s">
        <v>958</v>
      </c>
      <c r="I164" s="561" t="s">
        <v>959</v>
      </c>
      <c r="J164" s="562" t="s">
        <v>960</v>
      </c>
      <c r="K164" s="562" t="s">
        <v>961</v>
      </c>
      <c r="L164" s="562" t="s">
        <v>962</v>
      </c>
      <c r="M164" s="562" t="s">
        <v>963</v>
      </c>
      <c r="N164" s="562" t="s">
        <v>964</v>
      </c>
      <c r="O164" s="562" t="s">
        <v>965</v>
      </c>
      <c r="P164" s="562" t="s">
        <v>966</v>
      </c>
      <c r="Q164" s="563" t="s">
        <v>967</v>
      </c>
      <c r="S164" s="602" t="s">
        <v>771</v>
      </c>
      <c r="T164" s="601" t="s">
        <v>770</v>
      </c>
    </row>
    <row r="165" spans="1:20" ht="15">
      <c r="A165" s="1213"/>
      <c r="B165" s="564">
        <v>1</v>
      </c>
      <c r="C165" s="565" t="s">
        <v>1102</v>
      </c>
      <c r="D165" s="564" t="s">
        <v>771</v>
      </c>
      <c r="E165" s="696">
        <v>3856325.0000000005</v>
      </c>
      <c r="F165" s="566">
        <v>3</v>
      </c>
      <c r="G165" s="566">
        <v>3.6666666666666665</v>
      </c>
      <c r="H165" s="566">
        <v>4</v>
      </c>
      <c r="I165" s="567">
        <v>1.8860561874586299</v>
      </c>
      <c r="J165" s="568">
        <v>1.3064354950763004</v>
      </c>
      <c r="K165" s="569">
        <v>0.25757575757575757</v>
      </c>
      <c r="L165" s="569">
        <v>0.53030303030303028</v>
      </c>
      <c r="M165" s="569">
        <v>0.18181818181818182</v>
      </c>
      <c r="N165" s="569">
        <v>3.0303030303030304E-2</v>
      </c>
      <c r="O165" s="569">
        <v>0</v>
      </c>
      <c r="P165" s="569"/>
      <c r="Q165" s="570"/>
      <c r="S165" s="603">
        <f>IF(D165="Commercial",1,0)</f>
        <v>1</v>
      </c>
      <c r="T165" s="599">
        <f>IF(D165="Residential",1,0)</f>
        <v>0</v>
      </c>
    </row>
    <row r="166" spans="1:20" ht="15">
      <c r="A166" s="1213"/>
      <c r="B166" s="564">
        <v>2</v>
      </c>
      <c r="C166" s="565" t="s">
        <v>1032</v>
      </c>
      <c r="D166" s="564" t="s">
        <v>770</v>
      </c>
      <c r="E166" s="696">
        <v>3155174.9999999995</v>
      </c>
      <c r="F166" s="566">
        <v>3</v>
      </c>
      <c r="G166" s="566">
        <v>3.6666666666666665</v>
      </c>
      <c r="H166" s="566">
        <v>4</v>
      </c>
      <c r="I166" s="567">
        <v>1.8860561874586299</v>
      </c>
      <c r="J166" s="568">
        <v>1.3064354950763004</v>
      </c>
      <c r="K166" s="571">
        <v>0.25757575757575757</v>
      </c>
      <c r="L166" s="571">
        <v>0.53030303030303028</v>
      </c>
      <c r="M166" s="571">
        <v>0.18181818181818182</v>
      </c>
      <c r="N166" s="571">
        <v>3.0303030303030304E-2</v>
      </c>
      <c r="O166" s="571">
        <v>0</v>
      </c>
      <c r="P166" s="571"/>
      <c r="Q166" s="572"/>
      <c r="S166" s="603">
        <f t="shared" ref="S166:S204" si="30">IF(D166="Commercial",1,0)</f>
        <v>0</v>
      </c>
      <c r="T166" s="599">
        <f t="shared" ref="T166:T204" si="31">IF(D166="Residential",1,0)</f>
        <v>1</v>
      </c>
    </row>
    <row r="167" spans="1:20" ht="15">
      <c r="A167" s="1213"/>
      <c r="B167" s="564">
        <v>3</v>
      </c>
      <c r="C167" s="565" t="s">
        <v>1087</v>
      </c>
      <c r="D167" s="564" t="s">
        <v>770</v>
      </c>
      <c r="E167" s="696">
        <v>9000</v>
      </c>
      <c r="F167" s="566">
        <v>11</v>
      </c>
      <c r="G167" s="566">
        <v>11</v>
      </c>
      <c r="H167" s="566">
        <v>11</v>
      </c>
      <c r="I167" s="567">
        <v>2.5339182573320693</v>
      </c>
      <c r="J167" s="568">
        <v>1.4830906068478693</v>
      </c>
      <c r="K167" s="571">
        <v>0.2857142857142857</v>
      </c>
      <c r="L167" s="571">
        <v>0.5714285714285714</v>
      </c>
      <c r="M167" s="571">
        <v>7.1428571428571425E-2</v>
      </c>
      <c r="N167" s="571">
        <v>7.1428571428571425E-2</v>
      </c>
      <c r="O167" s="571">
        <v>0</v>
      </c>
      <c r="P167" s="571"/>
      <c r="Q167" s="572"/>
      <c r="S167" s="603">
        <f t="shared" si="30"/>
        <v>0</v>
      </c>
      <c r="T167" s="599">
        <f t="shared" si="31"/>
        <v>1</v>
      </c>
    </row>
    <row r="168" spans="1:20" ht="15">
      <c r="A168" s="1213"/>
      <c r="B168" s="564">
        <v>4</v>
      </c>
      <c r="C168" s="565"/>
      <c r="D168" s="564"/>
      <c r="E168" s="696"/>
      <c r="F168" s="566"/>
      <c r="G168" s="566"/>
      <c r="H168" s="566"/>
      <c r="I168" s="567"/>
      <c r="J168" s="568"/>
      <c r="K168" s="571"/>
      <c r="L168" s="571"/>
      <c r="M168" s="571"/>
      <c r="N168" s="571"/>
      <c r="O168" s="571"/>
      <c r="P168" s="571"/>
      <c r="Q168" s="572"/>
      <c r="S168" s="603">
        <f t="shared" si="30"/>
        <v>0</v>
      </c>
      <c r="T168" s="599">
        <f t="shared" si="31"/>
        <v>0</v>
      </c>
    </row>
    <row r="169" spans="1:20" ht="15">
      <c r="A169" s="1213"/>
      <c r="B169" s="564">
        <v>5</v>
      </c>
      <c r="C169" s="565"/>
      <c r="D169" s="564"/>
      <c r="E169" s="696"/>
      <c r="F169" s="566"/>
      <c r="G169" s="566"/>
      <c r="H169" s="566"/>
      <c r="I169" s="567"/>
      <c r="J169" s="568"/>
      <c r="K169" s="571"/>
      <c r="L169" s="571"/>
      <c r="M169" s="571"/>
      <c r="N169" s="571"/>
      <c r="O169" s="571"/>
      <c r="P169" s="571"/>
      <c r="Q169" s="572"/>
      <c r="S169" s="603">
        <f t="shared" si="30"/>
        <v>0</v>
      </c>
      <c r="T169" s="599">
        <f t="shared" si="31"/>
        <v>0</v>
      </c>
    </row>
    <row r="170" spans="1:20" ht="15">
      <c r="A170" s="1213"/>
      <c r="B170" s="564">
        <v>6</v>
      </c>
      <c r="C170" s="565"/>
      <c r="D170" s="564"/>
      <c r="E170" s="696"/>
      <c r="F170" s="566"/>
      <c r="G170" s="566"/>
      <c r="H170" s="566"/>
      <c r="I170" s="567"/>
      <c r="J170" s="568"/>
      <c r="K170" s="571"/>
      <c r="L170" s="571"/>
      <c r="M170" s="571"/>
      <c r="N170" s="571"/>
      <c r="O170" s="571"/>
      <c r="P170" s="571"/>
      <c r="Q170" s="572"/>
      <c r="S170" s="603">
        <f t="shared" si="30"/>
        <v>0</v>
      </c>
      <c r="T170" s="599">
        <f t="shared" si="31"/>
        <v>0</v>
      </c>
    </row>
    <row r="171" spans="1:20" ht="15">
      <c r="A171" s="1213"/>
      <c r="B171" s="564">
        <v>7</v>
      </c>
      <c r="C171" s="565"/>
      <c r="D171" s="564"/>
      <c r="E171" s="696"/>
      <c r="F171" s="566"/>
      <c r="G171" s="566"/>
      <c r="H171" s="566"/>
      <c r="I171" s="567"/>
      <c r="J171" s="568"/>
      <c r="K171" s="571"/>
      <c r="L171" s="571"/>
      <c r="M171" s="571"/>
      <c r="N171" s="571"/>
      <c r="O171" s="571"/>
      <c r="P171" s="571"/>
      <c r="Q171" s="572"/>
      <c r="S171" s="603">
        <f t="shared" si="30"/>
        <v>0</v>
      </c>
      <c r="T171" s="599">
        <f t="shared" si="31"/>
        <v>0</v>
      </c>
    </row>
    <row r="172" spans="1:20" ht="15">
      <c r="A172" s="1213"/>
      <c r="B172" s="564">
        <v>8</v>
      </c>
      <c r="C172" s="565"/>
      <c r="D172" s="564"/>
      <c r="E172" s="696"/>
      <c r="F172" s="566"/>
      <c r="G172" s="566"/>
      <c r="H172" s="566"/>
      <c r="I172" s="567"/>
      <c r="J172" s="568"/>
      <c r="K172" s="571"/>
      <c r="L172" s="571"/>
      <c r="M172" s="571"/>
      <c r="N172" s="571"/>
      <c r="O172" s="571"/>
      <c r="P172" s="571"/>
      <c r="Q172" s="572"/>
      <c r="S172" s="603">
        <f t="shared" si="30"/>
        <v>0</v>
      </c>
      <c r="T172" s="599">
        <f t="shared" si="31"/>
        <v>0</v>
      </c>
    </row>
    <row r="173" spans="1:20" ht="15">
      <c r="A173" s="1213"/>
      <c r="B173" s="564">
        <v>9</v>
      </c>
      <c r="C173" s="565"/>
      <c r="D173" s="564"/>
      <c r="E173" s="696"/>
      <c r="F173" s="566"/>
      <c r="G173" s="566"/>
      <c r="H173" s="566"/>
      <c r="I173" s="567"/>
      <c r="J173" s="568"/>
      <c r="K173" s="571"/>
      <c r="L173" s="571"/>
      <c r="M173" s="571"/>
      <c r="N173" s="571"/>
      <c r="O173" s="571"/>
      <c r="P173" s="571"/>
      <c r="Q173" s="572"/>
      <c r="S173" s="603">
        <f t="shared" si="30"/>
        <v>0</v>
      </c>
      <c r="T173" s="599">
        <f t="shared" si="31"/>
        <v>0</v>
      </c>
    </row>
    <row r="174" spans="1:20" ht="15">
      <c r="A174" s="1213"/>
      <c r="B174" s="564">
        <v>10</v>
      </c>
      <c r="C174" s="565"/>
      <c r="D174" s="564"/>
      <c r="E174" s="696"/>
      <c r="F174" s="566"/>
      <c r="G174" s="566"/>
      <c r="H174" s="566"/>
      <c r="I174" s="567"/>
      <c r="J174" s="568"/>
      <c r="K174" s="571"/>
      <c r="L174" s="571"/>
      <c r="M174" s="571"/>
      <c r="N174" s="571"/>
      <c r="O174" s="571"/>
      <c r="P174" s="571"/>
      <c r="Q174" s="572"/>
      <c r="S174" s="603">
        <f t="shared" si="30"/>
        <v>0</v>
      </c>
      <c r="T174" s="599">
        <f t="shared" si="31"/>
        <v>0</v>
      </c>
    </row>
    <row r="175" spans="1:20" ht="15">
      <c r="A175" s="1213"/>
      <c r="B175" s="564">
        <v>11</v>
      </c>
      <c r="C175" s="565"/>
      <c r="D175" s="564"/>
      <c r="E175" s="696"/>
      <c r="F175" s="566"/>
      <c r="G175" s="566"/>
      <c r="H175" s="566"/>
      <c r="I175" s="567"/>
      <c r="J175" s="568"/>
      <c r="K175" s="571"/>
      <c r="L175" s="571"/>
      <c r="M175" s="571"/>
      <c r="N175" s="571"/>
      <c r="O175" s="571"/>
      <c r="P175" s="571"/>
      <c r="Q175" s="572"/>
      <c r="S175" s="603">
        <f t="shared" si="30"/>
        <v>0</v>
      </c>
      <c r="T175" s="599">
        <f t="shared" si="31"/>
        <v>0</v>
      </c>
    </row>
    <row r="176" spans="1:20" ht="15">
      <c r="A176" s="1213"/>
      <c r="B176" s="564">
        <v>12</v>
      </c>
      <c r="C176" s="565"/>
      <c r="D176" s="564"/>
      <c r="E176" s="696"/>
      <c r="F176" s="566"/>
      <c r="G176" s="566"/>
      <c r="H176" s="566"/>
      <c r="I176" s="567"/>
      <c r="J176" s="568"/>
      <c r="K176" s="571"/>
      <c r="L176" s="571"/>
      <c r="M176" s="571"/>
      <c r="N176" s="571"/>
      <c r="O176" s="571"/>
      <c r="P176" s="571"/>
      <c r="Q176" s="572"/>
      <c r="S176" s="603">
        <f t="shared" si="30"/>
        <v>0</v>
      </c>
      <c r="T176" s="599">
        <f t="shared" si="31"/>
        <v>0</v>
      </c>
    </row>
    <row r="177" spans="1:20" ht="15">
      <c r="A177" s="1213"/>
      <c r="B177" s="564">
        <v>13</v>
      </c>
      <c r="C177" s="565"/>
      <c r="D177" s="564"/>
      <c r="E177" s="696"/>
      <c r="F177" s="566"/>
      <c r="G177" s="566"/>
      <c r="H177" s="566"/>
      <c r="I177" s="567"/>
      <c r="J177" s="568"/>
      <c r="K177" s="571"/>
      <c r="L177" s="571"/>
      <c r="M177" s="571"/>
      <c r="N177" s="571"/>
      <c r="O177" s="571"/>
      <c r="P177" s="571"/>
      <c r="Q177" s="572"/>
      <c r="S177" s="603">
        <f t="shared" si="30"/>
        <v>0</v>
      </c>
      <c r="T177" s="599">
        <f t="shared" si="31"/>
        <v>0</v>
      </c>
    </row>
    <row r="178" spans="1:20" ht="15">
      <c r="A178" s="1213"/>
      <c r="B178" s="564">
        <v>14</v>
      </c>
      <c r="C178" s="565"/>
      <c r="D178" s="564"/>
      <c r="E178" s="696"/>
      <c r="F178" s="566"/>
      <c r="G178" s="566"/>
      <c r="H178" s="566"/>
      <c r="I178" s="567"/>
      <c r="J178" s="568"/>
      <c r="K178" s="571"/>
      <c r="L178" s="571"/>
      <c r="M178" s="571"/>
      <c r="N178" s="571"/>
      <c r="O178" s="571"/>
      <c r="P178" s="571"/>
      <c r="Q178" s="572"/>
      <c r="S178" s="603">
        <f t="shared" si="30"/>
        <v>0</v>
      </c>
      <c r="T178" s="599">
        <f t="shared" si="31"/>
        <v>0</v>
      </c>
    </row>
    <row r="179" spans="1:20" ht="15">
      <c r="A179" s="1213"/>
      <c r="B179" s="564">
        <v>15</v>
      </c>
      <c r="C179" s="565"/>
      <c r="D179" s="564"/>
      <c r="E179" s="696"/>
      <c r="F179" s="566"/>
      <c r="G179" s="566"/>
      <c r="H179" s="566"/>
      <c r="I179" s="567"/>
      <c r="J179" s="568"/>
      <c r="K179" s="571"/>
      <c r="L179" s="571"/>
      <c r="M179" s="571"/>
      <c r="N179" s="571"/>
      <c r="O179" s="571"/>
      <c r="P179" s="571"/>
      <c r="Q179" s="572"/>
      <c r="S179" s="603">
        <f t="shared" si="30"/>
        <v>0</v>
      </c>
      <c r="T179" s="599">
        <f t="shared" si="31"/>
        <v>0</v>
      </c>
    </row>
    <row r="180" spans="1:20" ht="15">
      <c r="A180" s="1213"/>
      <c r="B180" s="564">
        <v>16</v>
      </c>
      <c r="C180" s="565"/>
      <c r="D180" s="564"/>
      <c r="E180" s="696"/>
      <c r="F180" s="566"/>
      <c r="G180" s="566"/>
      <c r="H180" s="566"/>
      <c r="I180" s="567"/>
      <c r="J180" s="568"/>
      <c r="K180" s="571"/>
      <c r="L180" s="571"/>
      <c r="M180" s="571"/>
      <c r="N180" s="571"/>
      <c r="O180" s="571"/>
      <c r="P180" s="571"/>
      <c r="Q180" s="572"/>
      <c r="S180" s="603">
        <f t="shared" si="30"/>
        <v>0</v>
      </c>
      <c r="T180" s="599">
        <f t="shared" si="31"/>
        <v>0</v>
      </c>
    </row>
    <row r="181" spans="1:20" ht="15">
      <c r="A181" s="1213"/>
      <c r="B181" s="564">
        <v>17</v>
      </c>
      <c r="C181" s="565"/>
      <c r="D181" s="564"/>
      <c r="E181" s="696"/>
      <c r="F181" s="566"/>
      <c r="G181" s="566"/>
      <c r="H181" s="566"/>
      <c r="I181" s="567"/>
      <c r="J181" s="567"/>
      <c r="K181" s="567"/>
      <c r="L181" s="567"/>
      <c r="M181" s="567"/>
      <c r="N181" s="567"/>
      <c r="O181" s="567"/>
      <c r="P181" s="567"/>
      <c r="Q181" s="692"/>
      <c r="S181" s="603">
        <f t="shared" si="30"/>
        <v>0</v>
      </c>
      <c r="T181" s="599">
        <f t="shared" si="31"/>
        <v>0</v>
      </c>
    </row>
    <row r="182" spans="1:20" ht="15">
      <c r="A182" s="1213"/>
      <c r="B182" s="564">
        <v>18</v>
      </c>
      <c r="C182" s="565"/>
      <c r="D182" s="564"/>
      <c r="E182" s="696"/>
      <c r="F182" s="566"/>
      <c r="G182" s="566"/>
      <c r="H182" s="566"/>
      <c r="I182" s="567"/>
      <c r="J182" s="567"/>
      <c r="K182" s="567"/>
      <c r="L182" s="567"/>
      <c r="M182" s="567"/>
      <c r="N182" s="567"/>
      <c r="O182" s="567"/>
      <c r="P182" s="567"/>
      <c r="Q182" s="692"/>
      <c r="S182" s="603">
        <f t="shared" si="30"/>
        <v>0</v>
      </c>
      <c r="T182" s="599">
        <f t="shared" si="31"/>
        <v>0</v>
      </c>
    </row>
    <row r="183" spans="1:20" ht="15">
      <c r="A183" s="1213"/>
      <c r="B183" s="564">
        <v>19</v>
      </c>
      <c r="C183" s="565"/>
      <c r="D183" s="564"/>
      <c r="E183" s="696"/>
      <c r="F183" s="566"/>
      <c r="G183" s="566"/>
      <c r="H183" s="566"/>
      <c r="I183" s="567"/>
      <c r="J183" s="567"/>
      <c r="K183" s="567"/>
      <c r="L183" s="567"/>
      <c r="M183" s="567"/>
      <c r="N183" s="567"/>
      <c r="O183" s="567"/>
      <c r="P183" s="567"/>
      <c r="Q183" s="692"/>
      <c r="S183" s="603">
        <f t="shared" si="30"/>
        <v>0</v>
      </c>
      <c r="T183" s="599">
        <f t="shared" si="31"/>
        <v>0</v>
      </c>
    </row>
    <row r="184" spans="1:20" ht="15">
      <c r="A184" s="1213"/>
      <c r="B184" s="564">
        <v>20</v>
      </c>
      <c r="C184" s="565"/>
      <c r="D184" s="564"/>
      <c r="E184" s="696"/>
      <c r="F184" s="566"/>
      <c r="G184" s="566"/>
      <c r="H184" s="566"/>
      <c r="I184" s="567"/>
      <c r="J184" s="567"/>
      <c r="K184" s="567"/>
      <c r="L184" s="567"/>
      <c r="M184" s="567"/>
      <c r="N184" s="567"/>
      <c r="O184" s="567"/>
      <c r="P184" s="567"/>
      <c r="Q184" s="692"/>
      <c r="S184" s="603">
        <f t="shared" si="30"/>
        <v>0</v>
      </c>
      <c r="T184" s="599">
        <f t="shared" si="31"/>
        <v>0</v>
      </c>
    </row>
    <row r="185" spans="1:20" ht="15">
      <c r="A185" s="1213"/>
      <c r="B185" s="564">
        <v>21</v>
      </c>
      <c r="C185" s="565"/>
      <c r="D185" s="564"/>
      <c r="E185" s="696"/>
      <c r="F185" s="566"/>
      <c r="G185" s="566"/>
      <c r="H185" s="566"/>
      <c r="I185" s="567"/>
      <c r="J185" s="567"/>
      <c r="K185" s="567"/>
      <c r="L185" s="567"/>
      <c r="M185" s="567"/>
      <c r="N185" s="567"/>
      <c r="O185" s="567"/>
      <c r="P185" s="567"/>
      <c r="Q185" s="692"/>
      <c r="S185" s="603">
        <f t="shared" si="30"/>
        <v>0</v>
      </c>
      <c r="T185" s="599">
        <f t="shared" si="31"/>
        <v>0</v>
      </c>
    </row>
    <row r="186" spans="1:20" ht="15">
      <c r="A186" s="1213"/>
      <c r="B186" s="564">
        <v>22</v>
      </c>
      <c r="C186" s="565"/>
      <c r="D186" s="564"/>
      <c r="E186" s="696"/>
      <c r="F186" s="566"/>
      <c r="G186" s="566"/>
      <c r="H186" s="566"/>
      <c r="I186" s="567"/>
      <c r="J186" s="567"/>
      <c r="K186" s="567"/>
      <c r="L186" s="567"/>
      <c r="M186" s="567"/>
      <c r="N186" s="567"/>
      <c r="O186" s="567"/>
      <c r="P186" s="567"/>
      <c r="Q186" s="692"/>
      <c r="S186" s="603">
        <f t="shared" si="30"/>
        <v>0</v>
      </c>
      <c r="T186" s="599">
        <f t="shared" si="31"/>
        <v>0</v>
      </c>
    </row>
    <row r="187" spans="1:20" ht="15">
      <c r="A187" s="1213"/>
      <c r="B187" s="564">
        <v>23</v>
      </c>
      <c r="C187" s="565"/>
      <c r="D187" s="564"/>
      <c r="E187" s="696"/>
      <c r="F187" s="566"/>
      <c r="G187" s="566"/>
      <c r="H187" s="566"/>
      <c r="I187" s="567"/>
      <c r="J187" s="567"/>
      <c r="K187" s="567"/>
      <c r="L187" s="567"/>
      <c r="M187" s="567"/>
      <c r="N187" s="567"/>
      <c r="O187" s="567"/>
      <c r="P187" s="567"/>
      <c r="Q187" s="692"/>
      <c r="S187" s="603">
        <f t="shared" si="30"/>
        <v>0</v>
      </c>
      <c r="T187" s="599">
        <f t="shared" si="31"/>
        <v>0</v>
      </c>
    </row>
    <row r="188" spans="1:20" ht="15">
      <c r="A188" s="1213"/>
      <c r="B188" s="564">
        <v>24</v>
      </c>
      <c r="C188" s="565"/>
      <c r="D188" s="564"/>
      <c r="E188" s="696"/>
      <c r="F188" s="566"/>
      <c r="G188" s="566"/>
      <c r="H188" s="566"/>
      <c r="I188" s="567"/>
      <c r="J188" s="567"/>
      <c r="K188" s="567"/>
      <c r="L188" s="567"/>
      <c r="M188" s="567"/>
      <c r="N188" s="567"/>
      <c r="O188" s="567"/>
      <c r="P188" s="567"/>
      <c r="Q188" s="692"/>
      <c r="S188" s="603">
        <f t="shared" si="30"/>
        <v>0</v>
      </c>
      <c r="T188" s="599">
        <f t="shared" si="31"/>
        <v>0</v>
      </c>
    </row>
    <row r="189" spans="1:20" ht="15">
      <c r="A189" s="1213"/>
      <c r="B189" s="564">
        <v>25</v>
      </c>
      <c r="C189" s="565"/>
      <c r="D189" s="564"/>
      <c r="E189" s="696"/>
      <c r="F189" s="566"/>
      <c r="G189" s="566"/>
      <c r="H189" s="566"/>
      <c r="I189" s="567"/>
      <c r="J189" s="567"/>
      <c r="K189" s="567"/>
      <c r="L189" s="567"/>
      <c r="M189" s="567"/>
      <c r="N189" s="567"/>
      <c r="O189" s="567"/>
      <c r="P189" s="567"/>
      <c r="Q189" s="692"/>
      <c r="S189" s="603">
        <f t="shared" si="30"/>
        <v>0</v>
      </c>
      <c r="T189" s="599">
        <f t="shared" si="31"/>
        <v>0</v>
      </c>
    </row>
    <row r="190" spans="1:20" ht="15">
      <c r="A190" s="1213"/>
      <c r="B190" s="564">
        <v>26</v>
      </c>
      <c r="C190" s="565"/>
      <c r="D190" s="564"/>
      <c r="E190" s="696"/>
      <c r="F190" s="695"/>
      <c r="G190" s="695"/>
      <c r="H190" s="695"/>
      <c r="I190" s="693"/>
      <c r="J190" s="693"/>
      <c r="K190" s="693"/>
      <c r="L190" s="693"/>
      <c r="M190" s="693"/>
      <c r="N190" s="693"/>
      <c r="O190" s="693"/>
      <c r="P190" s="693"/>
      <c r="Q190" s="694"/>
      <c r="S190" s="603">
        <f t="shared" si="30"/>
        <v>0</v>
      </c>
      <c r="T190" s="599">
        <f t="shared" si="31"/>
        <v>0</v>
      </c>
    </row>
    <row r="191" spans="1:20" ht="15">
      <c r="A191" s="1213"/>
      <c r="B191" s="564">
        <v>27</v>
      </c>
      <c r="C191" s="565"/>
      <c r="D191" s="564"/>
      <c r="E191" s="697"/>
      <c r="F191" s="695"/>
      <c r="G191" s="695"/>
      <c r="H191" s="695"/>
      <c r="I191" s="693"/>
      <c r="J191" s="693"/>
      <c r="K191" s="693"/>
      <c r="L191" s="693"/>
      <c r="M191" s="693"/>
      <c r="N191" s="693"/>
      <c r="O191" s="693"/>
      <c r="P191" s="693"/>
      <c r="Q191" s="694"/>
      <c r="S191" s="603">
        <f t="shared" si="30"/>
        <v>0</v>
      </c>
      <c r="T191" s="599">
        <f t="shared" si="31"/>
        <v>0</v>
      </c>
    </row>
    <row r="192" spans="1:20" ht="15">
      <c r="A192" s="1213"/>
      <c r="B192" s="564">
        <v>28</v>
      </c>
      <c r="C192" s="565"/>
      <c r="D192" s="564"/>
      <c r="E192" s="697"/>
      <c r="F192" s="695"/>
      <c r="G192" s="695"/>
      <c r="H192" s="695"/>
      <c r="I192" s="693"/>
      <c r="J192" s="693"/>
      <c r="K192" s="693"/>
      <c r="L192" s="693"/>
      <c r="M192" s="693"/>
      <c r="N192" s="693"/>
      <c r="O192" s="693"/>
      <c r="P192" s="693"/>
      <c r="Q192" s="694"/>
      <c r="S192" s="603">
        <f t="shared" si="30"/>
        <v>0</v>
      </c>
      <c r="T192" s="599">
        <f t="shared" si="31"/>
        <v>0</v>
      </c>
    </row>
    <row r="193" spans="1:20" ht="15">
      <c r="A193" s="1213"/>
      <c r="B193" s="564">
        <v>29</v>
      </c>
      <c r="C193" s="565"/>
      <c r="D193" s="564"/>
      <c r="E193" s="697"/>
      <c r="F193" s="695"/>
      <c r="G193" s="695"/>
      <c r="H193" s="695"/>
      <c r="I193" s="693"/>
      <c r="J193" s="693"/>
      <c r="K193" s="693"/>
      <c r="L193" s="693"/>
      <c r="M193" s="693"/>
      <c r="N193" s="693"/>
      <c r="O193" s="693"/>
      <c r="P193" s="693"/>
      <c r="Q193" s="694"/>
      <c r="S193" s="603">
        <f t="shared" si="30"/>
        <v>0</v>
      </c>
      <c r="T193" s="599">
        <f t="shared" si="31"/>
        <v>0</v>
      </c>
    </row>
    <row r="194" spans="1:20" ht="15">
      <c r="A194" s="1213"/>
      <c r="B194" s="564">
        <v>30</v>
      </c>
      <c r="C194" s="565"/>
      <c r="D194" s="564"/>
      <c r="E194" s="697"/>
      <c r="F194" s="695"/>
      <c r="G194" s="695"/>
      <c r="H194" s="695"/>
      <c r="I194" s="693"/>
      <c r="J194" s="693"/>
      <c r="K194" s="693"/>
      <c r="L194" s="693"/>
      <c r="M194" s="693"/>
      <c r="N194" s="693"/>
      <c r="O194" s="693"/>
      <c r="P194" s="693"/>
      <c r="Q194" s="694"/>
      <c r="S194" s="603">
        <f t="shared" si="30"/>
        <v>0</v>
      </c>
      <c r="T194" s="599">
        <f t="shared" si="31"/>
        <v>0</v>
      </c>
    </row>
    <row r="195" spans="1:20" ht="15">
      <c r="A195" s="1213"/>
      <c r="B195" s="564">
        <v>31</v>
      </c>
      <c r="C195" s="565"/>
      <c r="D195" s="564"/>
      <c r="E195" s="696"/>
      <c r="F195" s="566"/>
      <c r="G195" s="566"/>
      <c r="H195" s="566"/>
      <c r="I195" s="567"/>
      <c r="J195" s="567"/>
      <c r="K195" s="567"/>
      <c r="L195" s="567"/>
      <c r="M195" s="567"/>
      <c r="N195" s="567"/>
      <c r="O195" s="567"/>
      <c r="P195" s="567"/>
      <c r="Q195" s="692"/>
      <c r="S195" s="603">
        <f t="shared" si="30"/>
        <v>0</v>
      </c>
      <c r="T195" s="599">
        <f t="shared" si="31"/>
        <v>0</v>
      </c>
    </row>
    <row r="196" spans="1:20" ht="15">
      <c r="A196" s="1213"/>
      <c r="B196" s="564">
        <v>32</v>
      </c>
      <c r="C196" s="565"/>
      <c r="D196" s="564"/>
      <c r="E196" s="696"/>
      <c r="F196" s="566"/>
      <c r="G196" s="566"/>
      <c r="H196" s="566"/>
      <c r="I196" s="567"/>
      <c r="J196" s="567"/>
      <c r="K196" s="567"/>
      <c r="L196" s="567"/>
      <c r="M196" s="567"/>
      <c r="N196" s="567"/>
      <c r="O196" s="567"/>
      <c r="P196" s="567"/>
      <c r="Q196" s="692"/>
      <c r="S196" s="603">
        <f t="shared" si="30"/>
        <v>0</v>
      </c>
      <c r="T196" s="599">
        <f t="shared" si="31"/>
        <v>0</v>
      </c>
    </row>
    <row r="197" spans="1:20" ht="15">
      <c r="A197" s="1213"/>
      <c r="B197" s="564">
        <v>33</v>
      </c>
      <c r="C197" s="565"/>
      <c r="D197" s="564"/>
      <c r="E197" s="696"/>
      <c r="F197" s="566"/>
      <c r="G197" s="566"/>
      <c r="H197" s="566"/>
      <c r="I197" s="567"/>
      <c r="J197" s="567"/>
      <c r="K197" s="567"/>
      <c r="L197" s="567"/>
      <c r="M197" s="567"/>
      <c r="N197" s="567"/>
      <c r="O197" s="567"/>
      <c r="P197" s="567"/>
      <c r="Q197" s="692"/>
      <c r="S197" s="603">
        <f t="shared" si="30"/>
        <v>0</v>
      </c>
      <c r="T197" s="599">
        <f t="shared" si="31"/>
        <v>0</v>
      </c>
    </row>
    <row r="198" spans="1:20" ht="15">
      <c r="A198" s="1213"/>
      <c r="B198" s="564">
        <v>34</v>
      </c>
      <c r="C198" s="565"/>
      <c r="D198" s="564"/>
      <c r="E198" s="696"/>
      <c r="F198" s="566"/>
      <c r="G198" s="566"/>
      <c r="H198" s="566"/>
      <c r="I198" s="567"/>
      <c r="J198" s="567"/>
      <c r="K198" s="567"/>
      <c r="L198" s="567"/>
      <c r="M198" s="567"/>
      <c r="N198" s="567"/>
      <c r="O198" s="567"/>
      <c r="P198" s="567"/>
      <c r="Q198" s="692"/>
      <c r="S198" s="603">
        <f t="shared" si="30"/>
        <v>0</v>
      </c>
      <c r="T198" s="599">
        <f t="shared" si="31"/>
        <v>0</v>
      </c>
    </row>
    <row r="199" spans="1:20" ht="15">
      <c r="A199" s="1213"/>
      <c r="B199" s="564">
        <v>35</v>
      </c>
      <c r="C199" s="565"/>
      <c r="D199" s="564"/>
      <c r="E199" s="696"/>
      <c r="F199" s="566"/>
      <c r="G199" s="566"/>
      <c r="H199" s="566"/>
      <c r="I199" s="567"/>
      <c r="J199" s="567"/>
      <c r="K199" s="567"/>
      <c r="L199" s="567"/>
      <c r="M199" s="567"/>
      <c r="N199" s="567"/>
      <c r="O199" s="567"/>
      <c r="P199" s="567"/>
      <c r="Q199" s="692"/>
      <c r="S199" s="603">
        <f t="shared" si="30"/>
        <v>0</v>
      </c>
      <c r="T199" s="599">
        <f t="shared" si="31"/>
        <v>0</v>
      </c>
    </row>
    <row r="200" spans="1:20" ht="15">
      <c r="A200" s="1213"/>
      <c r="B200" s="564">
        <v>36</v>
      </c>
      <c r="C200" s="565"/>
      <c r="D200" s="564"/>
      <c r="E200" s="696"/>
      <c r="F200" s="566"/>
      <c r="G200" s="566"/>
      <c r="H200" s="566"/>
      <c r="I200" s="567"/>
      <c r="J200" s="567"/>
      <c r="K200" s="567"/>
      <c r="L200" s="567"/>
      <c r="M200" s="567"/>
      <c r="N200" s="567"/>
      <c r="O200" s="567"/>
      <c r="P200" s="567"/>
      <c r="Q200" s="692"/>
      <c r="S200" s="603">
        <f t="shared" si="30"/>
        <v>0</v>
      </c>
      <c r="T200" s="599">
        <f t="shared" si="31"/>
        <v>0</v>
      </c>
    </row>
    <row r="201" spans="1:20" ht="15">
      <c r="A201" s="1213"/>
      <c r="B201" s="564">
        <v>37</v>
      </c>
      <c r="C201" s="565"/>
      <c r="D201" s="564"/>
      <c r="E201" s="696"/>
      <c r="F201" s="566"/>
      <c r="G201" s="566"/>
      <c r="H201" s="566"/>
      <c r="I201" s="567"/>
      <c r="J201" s="567"/>
      <c r="K201" s="567"/>
      <c r="L201" s="567"/>
      <c r="M201" s="567"/>
      <c r="N201" s="567"/>
      <c r="O201" s="567"/>
      <c r="P201" s="567"/>
      <c r="Q201" s="692"/>
      <c r="S201" s="603">
        <f t="shared" si="30"/>
        <v>0</v>
      </c>
      <c r="T201" s="599">
        <f t="shared" si="31"/>
        <v>0</v>
      </c>
    </row>
    <row r="202" spans="1:20" ht="15">
      <c r="A202" s="1213"/>
      <c r="B202" s="564">
        <v>38</v>
      </c>
      <c r="C202" s="565"/>
      <c r="D202" s="564"/>
      <c r="E202" s="696"/>
      <c r="F202" s="566"/>
      <c r="G202" s="566"/>
      <c r="H202" s="566"/>
      <c r="I202" s="567"/>
      <c r="J202" s="567"/>
      <c r="K202" s="567"/>
      <c r="L202" s="567"/>
      <c r="M202" s="567"/>
      <c r="N202" s="567"/>
      <c r="O202" s="567"/>
      <c r="P202" s="567"/>
      <c r="Q202" s="692"/>
      <c r="S202" s="603">
        <f t="shared" si="30"/>
        <v>0</v>
      </c>
      <c r="T202" s="599">
        <f t="shared" si="31"/>
        <v>0</v>
      </c>
    </row>
    <row r="203" spans="1:20" ht="15">
      <c r="A203" s="1213"/>
      <c r="B203" s="564">
        <v>39</v>
      </c>
      <c r="C203" s="565"/>
      <c r="D203" s="564"/>
      <c r="E203" s="696"/>
      <c r="F203" s="566"/>
      <c r="G203" s="566"/>
      <c r="H203" s="566"/>
      <c r="I203" s="567"/>
      <c r="J203" s="567"/>
      <c r="K203" s="567"/>
      <c r="L203" s="567"/>
      <c r="M203" s="567"/>
      <c r="N203" s="567"/>
      <c r="O203" s="567"/>
      <c r="P203" s="567"/>
      <c r="Q203" s="692"/>
      <c r="S203" s="603">
        <f t="shared" si="30"/>
        <v>0</v>
      </c>
      <c r="T203" s="599">
        <f t="shared" si="31"/>
        <v>0</v>
      </c>
    </row>
    <row r="204" spans="1:20" ht="15.75" thickBot="1">
      <c r="A204" s="1213"/>
      <c r="B204" s="564">
        <v>40</v>
      </c>
      <c r="C204" s="565"/>
      <c r="D204" s="564"/>
      <c r="E204" s="696"/>
      <c r="F204" s="566"/>
      <c r="G204" s="566"/>
      <c r="H204" s="566"/>
      <c r="I204" s="567"/>
      <c r="J204" s="567"/>
      <c r="K204" s="567"/>
      <c r="L204" s="567"/>
      <c r="M204" s="567"/>
      <c r="N204" s="567"/>
      <c r="O204" s="567"/>
      <c r="P204" s="567"/>
      <c r="Q204" s="692"/>
      <c r="S204" s="604">
        <f t="shared" si="30"/>
        <v>0</v>
      </c>
      <c r="T204" s="600">
        <f t="shared" si="31"/>
        <v>0</v>
      </c>
    </row>
    <row r="205" spans="1:20" ht="15.75" thickBot="1">
      <c r="A205" s="1213"/>
      <c r="B205" s="576"/>
      <c r="C205" s="576"/>
      <c r="D205" s="576"/>
      <c r="E205" s="576"/>
      <c r="F205" s="576"/>
      <c r="G205" s="576"/>
      <c r="H205" s="576"/>
      <c r="I205" s="576"/>
      <c r="J205" s="576"/>
      <c r="K205" s="576"/>
      <c r="L205" s="576"/>
      <c r="M205" s="576"/>
      <c r="N205" s="576"/>
      <c r="O205" s="576"/>
      <c r="P205" s="576"/>
      <c r="Q205" s="576"/>
    </row>
    <row r="206" spans="1:20" ht="15">
      <c r="A206" s="1213"/>
      <c r="B206" s="613"/>
      <c r="C206" s="614"/>
      <c r="D206" s="617" t="s">
        <v>968</v>
      </c>
      <c r="E206" s="577">
        <f>SUMPRODUCT(T165:T204,E165:E204)</f>
        <v>3164174.9999999995</v>
      </c>
      <c r="F206" s="578"/>
      <c r="G206" s="578"/>
      <c r="H206" s="578"/>
      <c r="I206" s="579"/>
      <c r="J206" s="580"/>
      <c r="K206" s="581"/>
      <c r="L206" s="581"/>
      <c r="M206" s="581"/>
      <c r="N206" s="581"/>
      <c r="O206" s="581"/>
      <c r="P206" s="581"/>
      <c r="Q206" s="582"/>
      <c r="S206" s="606">
        <f>SUM(S165:S204)</f>
        <v>1</v>
      </c>
      <c r="T206" s="606">
        <f>SUM(T165:T204)</f>
        <v>2</v>
      </c>
    </row>
    <row r="207" spans="1:20" ht="15.75" thickBot="1">
      <c r="A207" s="1213"/>
      <c r="B207" s="615"/>
      <c r="C207" s="616"/>
      <c r="D207" s="618" t="s">
        <v>969</v>
      </c>
      <c r="E207" s="583"/>
      <c r="F207" s="584">
        <f>IF($T206=0,0,(SUMPRODUCT($T165:$T204,F165:F204,$E165:$E204)/$E206))</f>
        <v>3.0227547464979021</v>
      </c>
      <c r="G207" s="584">
        <f t="shared" ref="G207" si="32">IF($T206=0,0,(SUMPRODUCT($T165:$T204,G165:G204,$E165:$E204)/$E206))</f>
        <v>3.6875251842897439</v>
      </c>
      <c r="H207" s="584">
        <f t="shared" ref="H207" si="33">IF($T206=0,0,(SUMPRODUCT($T165:$T204,H165:H204,$E165:$E204)/$E206))</f>
        <v>4.0199104031856647</v>
      </c>
      <c r="I207" s="585">
        <f t="shared" ref="I207:Q207" si="34">IF($T206=0,0,(SUMPRODUCT($T165:$T204,I165:I204,$E165:$E204)/$E206))</f>
        <v>1.8878989296043271</v>
      </c>
      <c r="J207" s="586">
        <f t="shared" si="34"/>
        <v>1.3069379628620406</v>
      </c>
      <c r="K207" s="587">
        <f t="shared" si="34"/>
        <v>0.25765579321008458</v>
      </c>
      <c r="L207" s="587">
        <f t="shared" si="34"/>
        <v>0.53042000546089285</v>
      </c>
      <c r="M207" s="587">
        <f t="shared" si="34"/>
        <v>0.1815041958681296</v>
      </c>
      <c r="N207" s="587">
        <f t="shared" si="34"/>
        <v>3.0420005460892897E-2</v>
      </c>
      <c r="O207" s="587">
        <f t="shared" si="34"/>
        <v>0</v>
      </c>
      <c r="P207" s="587">
        <f t="shared" si="34"/>
        <v>0</v>
      </c>
      <c r="Q207" s="588">
        <f t="shared" si="34"/>
        <v>0</v>
      </c>
    </row>
    <row r="208" spans="1:20" ht="15">
      <c r="A208" s="1213"/>
      <c r="B208" s="613"/>
      <c r="C208" s="614"/>
      <c r="D208" s="617" t="s">
        <v>970</v>
      </c>
      <c r="E208" s="577">
        <f>SUMPRODUCT(S165:S204,E165:E204)</f>
        <v>3856325.0000000005</v>
      </c>
      <c r="F208" s="578"/>
      <c r="G208" s="578"/>
      <c r="H208" s="578"/>
      <c r="I208" s="579"/>
      <c r="J208" s="589"/>
      <c r="K208" s="581"/>
      <c r="L208" s="581"/>
      <c r="M208" s="581"/>
      <c r="N208" s="581"/>
      <c r="O208" s="581"/>
      <c r="P208" s="581"/>
      <c r="Q208" s="582"/>
    </row>
    <row r="209" spans="1:20" ht="15.75" thickBot="1">
      <c r="A209" s="1213"/>
      <c r="B209" s="615"/>
      <c r="C209" s="616"/>
      <c r="D209" s="618" t="s">
        <v>971</v>
      </c>
      <c r="E209" s="583"/>
      <c r="F209" s="584">
        <f>IF($S206=0,0,(SUMPRODUCT($S165:$S204,F165:F204,$E165:$E204)/$E208))</f>
        <v>3</v>
      </c>
      <c r="G209" s="584">
        <f t="shared" ref="G209" si="35">IF($S206=0,0,(SUMPRODUCT($S165:$S204,G165:G204,$E165:$E204)/$E208))</f>
        <v>3.6666666666666665</v>
      </c>
      <c r="H209" s="584">
        <f t="shared" ref="H209" si="36">IF($S206=0,0,(SUMPRODUCT($S165:$S204,H165:H204,$E165:$E204)/$E208))</f>
        <v>4</v>
      </c>
      <c r="I209" s="585">
        <f t="shared" ref="I209:Q209" si="37">IF($S206=0,0,(SUMPRODUCT($S165:$S204,I165:I204,$E165:$E204)/$E208))</f>
        <v>1.8860561874586299</v>
      </c>
      <c r="J209" s="586">
        <f t="shared" si="37"/>
        <v>1.3064354950763004</v>
      </c>
      <c r="K209" s="587">
        <f t="shared" si="37"/>
        <v>0.25757575757575757</v>
      </c>
      <c r="L209" s="587">
        <f t="shared" si="37"/>
        <v>0.53030303030303028</v>
      </c>
      <c r="M209" s="587">
        <f t="shared" si="37"/>
        <v>0.18181818181818182</v>
      </c>
      <c r="N209" s="587">
        <f t="shared" si="37"/>
        <v>3.0303030303030307E-2</v>
      </c>
      <c r="O209" s="587">
        <f t="shared" si="37"/>
        <v>0</v>
      </c>
      <c r="P209" s="587">
        <f t="shared" si="37"/>
        <v>0</v>
      </c>
      <c r="Q209" s="588">
        <f t="shared" si="37"/>
        <v>0</v>
      </c>
    </row>
    <row r="210" spans="1:20" ht="15">
      <c r="A210" s="1213"/>
      <c r="B210" s="613"/>
      <c r="C210" s="614"/>
      <c r="D210" s="617" t="s">
        <v>972</v>
      </c>
      <c r="E210" s="577">
        <f>SUM(E165:E204)</f>
        <v>7020500</v>
      </c>
      <c r="F210" s="578"/>
      <c r="G210" s="578"/>
      <c r="H210" s="578"/>
      <c r="I210" s="579"/>
      <c r="J210" s="580"/>
      <c r="K210" s="581"/>
      <c r="L210" s="581"/>
      <c r="M210" s="581"/>
      <c r="N210" s="581"/>
      <c r="O210" s="581"/>
      <c r="P210" s="581"/>
      <c r="Q210" s="582"/>
    </row>
    <row r="211" spans="1:20" ht="15.75" thickBot="1">
      <c r="A211" s="593"/>
      <c r="B211" s="615"/>
      <c r="C211" s="616"/>
      <c r="D211" s="618" t="s">
        <v>973</v>
      </c>
      <c r="E211" s="583"/>
      <c r="F211" s="584">
        <f>SUMPRODUCT($E165:$E204,F165:F204)/$E210</f>
        <v>3.0102556797948865</v>
      </c>
      <c r="G211" s="584">
        <f t="shared" ref="G211" si="38">SUMPRODUCT($E165:$E204,G165:G204)/$E210</f>
        <v>3.6760677064786456</v>
      </c>
      <c r="H211" s="584">
        <f t="shared" ref="H211" si="39">SUMPRODUCT($E165:$E204,H165:H204)/$E210</f>
        <v>4.008973719820526</v>
      </c>
      <c r="I211" s="585">
        <f t="shared" ref="I211:Q211" si="40">SUMPRODUCT($E165:$E204,I165:I204)/$E210</f>
        <v>1.8868867207011142</v>
      </c>
      <c r="J211" s="586">
        <f t="shared" si="40"/>
        <v>1.3066619598588576</v>
      </c>
      <c r="K211" s="801">
        <f t="shared" si="40"/>
        <v>0.2576118300425686</v>
      </c>
      <c r="L211" s="801">
        <f t="shared" si="40"/>
        <v>0.53035575160067716</v>
      </c>
      <c r="M211" s="801">
        <f t="shared" si="40"/>
        <v>0.18167666675607705</v>
      </c>
      <c r="N211" s="801">
        <f t="shared" si="40"/>
        <v>3.0355751600677171E-2</v>
      </c>
      <c r="O211" s="801">
        <f t="shared" si="40"/>
        <v>0</v>
      </c>
      <c r="P211" s="587">
        <f t="shared" si="40"/>
        <v>0</v>
      </c>
      <c r="Q211" s="588">
        <f t="shared" si="40"/>
        <v>0</v>
      </c>
    </row>
    <row r="212" spans="1:20" ht="15">
      <c r="A212" s="557"/>
      <c r="B212" s="557"/>
      <c r="C212" s="557"/>
      <c r="D212" s="557"/>
      <c r="E212" s="557"/>
      <c r="F212" s="557"/>
      <c r="G212" s="557"/>
      <c r="H212" s="557"/>
      <c r="I212" s="557"/>
      <c r="J212" s="590"/>
      <c r="K212" s="557"/>
      <c r="L212" s="557"/>
      <c r="M212" s="557"/>
      <c r="N212" s="557"/>
      <c r="O212" s="557"/>
      <c r="P212" s="557"/>
      <c r="Q212" s="557"/>
    </row>
    <row r="213" spans="1:20" ht="15">
      <c r="A213" s="591"/>
      <c r="B213" s="554"/>
      <c r="C213" s="591"/>
      <c r="D213" s="591"/>
      <c r="E213" s="591"/>
      <c r="F213" s="591"/>
      <c r="G213" s="591"/>
      <c r="H213" s="591"/>
      <c r="I213" s="591"/>
      <c r="J213" s="591"/>
      <c r="K213" s="554"/>
      <c r="L213" s="591"/>
      <c r="M213" s="591"/>
      <c r="N213" s="591"/>
      <c r="O213" s="591"/>
      <c r="P213" s="591"/>
      <c r="Q213" s="591"/>
      <c r="R213" s="592"/>
    </row>
    <row r="214" spans="1:20" ht="15">
      <c r="A214" s="557"/>
      <c r="B214" s="799" t="s">
        <v>1173</v>
      </c>
      <c r="C214" s="800" t="s">
        <v>1134</v>
      </c>
      <c r="D214" s="557"/>
      <c r="E214" s="557"/>
      <c r="F214" s="557"/>
      <c r="G214" s="557"/>
      <c r="H214" s="557"/>
      <c r="I214" s="557"/>
      <c r="J214" s="557"/>
      <c r="K214" s="557"/>
      <c r="L214" s="557"/>
      <c r="M214" s="557"/>
      <c r="N214" s="557"/>
      <c r="O214" s="557"/>
      <c r="P214" s="557"/>
      <c r="Q214" s="557"/>
    </row>
    <row r="215" spans="1:20" ht="15" customHeight="1" thickBot="1">
      <c r="A215" s="557"/>
      <c r="B215" s="799" t="s">
        <v>1174</v>
      </c>
      <c r="C215" s="800" t="s">
        <v>1185</v>
      </c>
      <c r="D215" s="557"/>
      <c r="E215" s="557"/>
      <c r="F215" s="608"/>
      <c r="G215" s="609" t="s">
        <v>173</v>
      </c>
      <c r="H215" s="609"/>
      <c r="I215" s="557"/>
      <c r="J215" s="557"/>
      <c r="K215" s="610"/>
      <c r="L215" s="611"/>
      <c r="M215" s="611" t="s">
        <v>954</v>
      </c>
      <c r="N215" s="611"/>
      <c r="O215" s="611"/>
      <c r="P215" s="611"/>
      <c r="Q215" s="612"/>
    </row>
    <row r="216" spans="1:20" ht="30.75" customHeight="1" thickBot="1">
      <c r="A216" s="1213" t="s">
        <v>1228</v>
      </c>
      <c r="B216" s="558" t="s">
        <v>955</v>
      </c>
      <c r="C216" s="559" t="s">
        <v>104</v>
      </c>
      <c r="D216" s="558" t="s">
        <v>769</v>
      </c>
      <c r="E216" s="558" t="s">
        <v>255</v>
      </c>
      <c r="F216" s="560" t="s">
        <v>956</v>
      </c>
      <c r="G216" s="560" t="s">
        <v>957</v>
      </c>
      <c r="H216" s="560" t="s">
        <v>958</v>
      </c>
      <c r="I216" s="561" t="s">
        <v>959</v>
      </c>
      <c r="J216" s="562" t="s">
        <v>960</v>
      </c>
      <c r="K216" s="562" t="s">
        <v>961</v>
      </c>
      <c r="L216" s="562" t="s">
        <v>962</v>
      </c>
      <c r="M216" s="562" t="s">
        <v>963</v>
      </c>
      <c r="N216" s="562" t="s">
        <v>964</v>
      </c>
      <c r="O216" s="562" t="s">
        <v>965</v>
      </c>
      <c r="P216" s="562" t="s">
        <v>966</v>
      </c>
      <c r="Q216" s="563" t="s">
        <v>967</v>
      </c>
      <c r="S216" s="602" t="s">
        <v>771</v>
      </c>
      <c r="T216" s="601" t="s">
        <v>770</v>
      </c>
    </row>
    <row r="217" spans="1:20" ht="15">
      <c r="A217" s="1213"/>
      <c r="B217" s="564">
        <v>1</v>
      </c>
      <c r="C217" s="565" t="s">
        <v>1048</v>
      </c>
      <c r="D217" s="564" t="s">
        <v>770</v>
      </c>
      <c r="E217" s="696">
        <v>29685284.999999996</v>
      </c>
      <c r="F217" s="566">
        <v>1.5</v>
      </c>
      <c r="G217" s="566">
        <v>4</v>
      </c>
      <c r="H217" s="566">
        <v>4</v>
      </c>
      <c r="I217" s="567">
        <v>2.1445792714936389</v>
      </c>
      <c r="J217" s="568">
        <v>1.4589116551573651</v>
      </c>
      <c r="K217" s="569">
        <v>0.45833333333333331</v>
      </c>
      <c r="L217" s="569">
        <v>0.54166666666666663</v>
      </c>
      <c r="M217" s="569">
        <v>0</v>
      </c>
      <c r="N217" s="569">
        <v>0</v>
      </c>
      <c r="O217" s="569">
        <v>0</v>
      </c>
      <c r="P217" s="569"/>
      <c r="Q217" s="570"/>
      <c r="S217" s="603">
        <f>IF(D217="Commercial",1,0)</f>
        <v>0</v>
      </c>
      <c r="T217" s="599">
        <f>IF(D217="Residential",1,0)</f>
        <v>1</v>
      </c>
    </row>
    <row r="218" spans="1:20" ht="15">
      <c r="A218" s="1213"/>
      <c r="B218" s="564">
        <v>2</v>
      </c>
      <c r="C218" s="565" t="s">
        <v>1049</v>
      </c>
      <c r="D218" s="564" t="s">
        <v>770</v>
      </c>
      <c r="E218" s="696">
        <v>8747137.5</v>
      </c>
      <c r="F218" s="566">
        <v>2</v>
      </c>
      <c r="G218" s="566">
        <v>4</v>
      </c>
      <c r="H218" s="566">
        <v>4.9000000000000004</v>
      </c>
      <c r="I218" s="567">
        <v>2.1445792714936389</v>
      </c>
      <c r="J218" s="568">
        <v>1.4589116551573651</v>
      </c>
      <c r="K218" s="571">
        <v>0.4</v>
      </c>
      <c r="L218" s="571">
        <v>0.5</v>
      </c>
      <c r="M218" s="571">
        <v>0.04</v>
      </c>
      <c r="N218" s="571">
        <v>0.06</v>
      </c>
      <c r="O218" s="571">
        <v>0</v>
      </c>
      <c r="P218" s="571"/>
      <c r="Q218" s="572"/>
      <c r="S218" s="603">
        <f t="shared" ref="S218:S256" si="41">IF(D218="Commercial",1,0)</f>
        <v>0</v>
      </c>
      <c r="T218" s="599">
        <f t="shared" ref="T218:T256" si="42">IF(D218="Residential",1,0)</f>
        <v>1</v>
      </c>
    </row>
    <row r="219" spans="1:20" ht="15">
      <c r="A219" s="1213"/>
      <c r="B219" s="564">
        <v>3</v>
      </c>
      <c r="C219" s="565" t="s">
        <v>1115</v>
      </c>
      <c r="D219" s="564" t="s">
        <v>771</v>
      </c>
      <c r="E219" s="696">
        <v>3298365</v>
      </c>
      <c r="F219" s="566">
        <v>1.5</v>
      </c>
      <c r="G219" s="566">
        <v>4</v>
      </c>
      <c r="H219" s="566">
        <v>4</v>
      </c>
      <c r="I219" s="567">
        <v>2.1445792714936389</v>
      </c>
      <c r="J219" s="568">
        <v>1.4589116551573651</v>
      </c>
      <c r="K219" s="571">
        <v>0.45833333333333331</v>
      </c>
      <c r="L219" s="571">
        <v>0.54166666666666663</v>
      </c>
      <c r="M219" s="571">
        <v>0</v>
      </c>
      <c r="N219" s="571">
        <v>0</v>
      </c>
      <c r="O219" s="571">
        <v>0</v>
      </c>
      <c r="P219" s="571"/>
      <c r="Q219" s="572"/>
      <c r="S219" s="603">
        <f t="shared" si="41"/>
        <v>1</v>
      </c>
      <c r="T219" s="599">
        <f t="shared" si="42"/>
        <v>0</v>
      </c>
    </row>
    <row r="220" spans="1:20" ht="15">
      <c r="A220" s="1213"/>
      <c r="B220" s="564">
        <v>4</v>
      </c>
      <c r="C220" s="565" t="s">
        <v>1114</v>
      </c>
      <c r="D220" s="564" t="s">
        <v>771</v>
      </c>
      <c r="E220" s="696">
        <v>2958720</v>
      </c>
      <c r="F220" s="566">
        <v>5</v>
      </c>
      <c r="G220" s="566">
        <v>5</v>
      </c>
      <c r="H220" s="566">
        <v>5</v>
      </c>
      <c r="I220" s="567">
        <v>2.1445792714936389</v>
      </c>
      <c r="J220" s="568">
        <v>1.4589116551573651</v>
      </c>
      <c r="K220" s="571">
        <v>0.4</v>
      </c>
      <c r="L220" s="571">
        <v>0.5</v>
      </c>
      <c r="M220" s="571">
        <v>0.04</v>
      </c>
      <c r="N220" s="571">
        <v>0.06</v>
      </c>
      <c r="O220" s="571">
        <v>0</v>
      </c>
      <c r="P220" s="571"/>
      <c r="Q220" s="572"/>
      <c r="S220" s="603">
        <f t="shared" si="41"/>
        <v>1</v>
      </c>
      <c r="T220" s="599">
        <f t="shared" si="42"/>
        <v>0</v>
      </c>
    </row>
    <row r="221" spans="1:20" ht="15">
      <c r="A221" s="1213"/>
      <c r="B221" s="564">
        <v>5</v>
      </c>
      <c r="C221" s="565" t="s">
        <v>1069</v>
      </c>
      <c r="D221" s="564" t="s">
        <v>770</v>
      </c>
      <c r="E221" s="696">
        <v>2346405</v>
      </c>
      <c r="F221" s="566">
        <v>6</v>
      </c>
      <c r="G221" s="566">
        <v>6</v>
      </c>
      <c r="H221" s="566">
        <v>6</v>
      </c>
      <c r="I221" s="567">
        <v>2.1382274410872029</v>
      </c>
      <c r="J221" s="568">
        <v>1.2579324779507752</v>
      </c>
      <c r="K221" s="571">
        <v>0.4</v>
      </c>
      <c r="L221" s="571">
        <v>0.5</v>
      </c>
      <c r="M221" s="571">
        <v>0.04</v>
      </c>
      <c r="N221" s="571">
        <v>0.06</v>
      </c>
      <c r="O221" s="571">
        <v>0</v>
      </c>
      <c r="P221" s="571"/>
      <c r="Q221" s="572"/>
      <c r="S221" s="603">
        <f t="shared" si="41"/>
        <v>0</v>
      </c>
      <c r="T221" s="599">
        <f t="shared" si="42"/>
        <v>1</v>
      </c>
    </row>
    <row r="222" spans="1:20" ht="15">
      <c r="A222" s="1213"/>
      <c r="B222" s="564">
        <v>6</v>
      </c>
      <c r="C222" s="565" t="s">
        <v>1053</v>
      </c>
      <c r="D222" s="564" t="s">
        <v>770</v>
      </c>
      <c r="E222" s="696">
        <v>1973000</v>
      </c>
      <c r="F222" s="566">
        <v>5</v>
      </c>
      <c r="G222" s="566">
        <v>5</v>
      </c>
      <c r="H222" s="566">
        <v>5</v>
      </c>
      <c r="I222" s="567">
        <v>2.0584434665647966</v>
      </c>
      <c r="J222" s="568">
        <v>1.3209883942842358</v>
      </c>
      <c r="K222" s="571">
        <v>0.14285714285714285</v>
      </c>
      <c r="L222" s="571">
        <v>0.5714285714285714</v>
      </c>
      <c r="M222" s="571">
        <v>0.14285714285714285</v>
      </c>
      <c r="N222" s="571">
        <v>0.14285714285714285</v>
      </c>
      <c r="O222" s="571">
        <v>0</v>
      </c>
      <c r="P222" s="571"/>
      <c r="Q222" s="572"/>
      <c r="S222" s="603">
        <f t="shared" si="41"/>
        <v>0</v>
      </c>
      <c r="T222" s="599">
        <f t="shared" si="42"/>
        <v>1</v>
      </c>
    </row>
    <row r="223" spans="1:20" ht="15">
      <c r="A223" s="1213"/>
      <c r="B223" s="564">
        <v>7</v>
      </c>
      <c r="C223" s="565" t="s">
        <v>1041</v>
      </c>
      <c r="D223" s="564" t="s">
        <v>770</v>
      </c>
      <c r="E223" s="696">
        <v>1782000</v>
      </c>
      <c r="F223" s="566">
        <v>4.9000000000000004</v>
      </c>
      <c r="G223" s="566">
        <v>4.9000000000000004</v>
      </c>
      <c r="H223" s="566">
        <v>4.9000000000000004</v>
      </c>
      <c r="I223" s="567">
        <v>2.1747396831740726</v>
      </c>
      <c r="J223" s="568">
        <v>1.3333567987466031</v>
      </c>
      <c r="K223" s="571">
        <v>0.4</v>
      </c>
      <c r="L223" s="571">
        <v>0.5</v>
      </c>
      <c r="M223" s="571">
        <v>0.04</v>
      </c>
      <c r="N223" s="571">
        <v>0.06</v>
      </c>
      <c r="O223" s="571">
        <v>0</v>
      </c>
      <c r="P223" s="571"/>
      <c r="Q223" s="572"/>
      <c r="S223" s="603">
        <f t="shared" si="41"/>
        <v>0</v>
      </c>
      <c r="T223" s="599">
        <f t="shared" si="42"/>
        <v>1</v>
      </c>
    </row>
    <row r="224" spans="1:20" ht="15">
      <c r="A224" s="1213"/>
      <c r="B224" s="564">
        <v>8</v>
      </c>
      <c r="C224" s="565" t="s">
        <v>1057</v>
      </c>
      <c r="D224" s="564" t="s">
        <v>770</v>
      </c>
      <c r="E224" s="696">
        <v>1723037.4</v>
      </c>
      <c r="F224" s="566">
        <v>3</v>
      </c>
      <c r="G224" s="566">
        <v>3</v>
      </c>
      <c r="H224" s="566">
        <v>3</v>
      </c>
      <c r="I224" s="567">
        <v>2.2730303617553296</v>
      </c>
      <c r="J224" s="568">
        <v>1.447651083752618</v>
      </c>
      <c r="K224" s="571">
        <v>0.4</v>
      </c>
      <c r="L224" s="571">
        <v>0.5</v>
      </c>
      <c r="M224" s="571">
        <v>0.04</v>
      </c>
      <c r="N224" s="571">
        <v>0.06</v>
      </c>
      <c r="O224" s="571">
        <v>0</v>
      </c>
      <c r="P224" s="571"/>
      <c r="Q224" s="572"/>
      <c r="S224" s="603">
        <f t="shared" si="41"/>
        <v>0</v>
      </c>
      <c r="T224" s="599">
        <f t="shared" si="42"/>
        <v>1</v>
      </c>
    </row>
    <row r="225" spans="1:20" ht="15">
      <c r="A225" s="1213"/>
      <c r="B225" s="564">
        <v>9</v>
      </c>
      <c r="C225" s="565" t="s">
        <v>1116</v>
      </c>
      <c r="D225" s="564" t="s">
        <v>771</v>
      </c>
      <c r="E225" s="696">
        <v>1543612.5</v>
      </c>
      <c r="F225" s="566">
        <v>2</v>
      </c>
      <c r="G225" s="566">
        <v>4</v>
      </c>
      <c r="H225" s="566">
        <v>4.9000000000000004</v>
      </c>
      <c r="I225" s="567">
        <v>2.1445792714936389</v>
      </c>
      <c r="J225" s="568">
        <v>1.4589116551573651</v>
      </c>
      <c r="K225" s="571">
        <v>0.4</v>
      </c>
      <c r="L225" s="571">
        <v>0.5</v>
      </c>
      <c r="M225" s="571">
        <v>0.04</v>
      </c>
      <c r="N225" s="571">
        <v>0.06</v>
      </c>
      <c r="O225" s="571">
        <v>0</v>
      </c>
      <c r="P225" s="571"/>
      <c r="Q225" s="572"/>
      <c r="S225" s="603">
        <f t="shared" si="41"/>
        <v>1</v>
      </c>
      <c r="T225" s="599">
        <f t="shared" si="42"/>
        <v>0</v>
      </c>
    </row>
    <row r="226" spans="1:20" ht="15">
      <c r="A226" s="1213"/>
      <c r="B226" s="564">
        <v>10</v>
      </c>
      <c r="C226" s="565" t="s">
        <v>1047</v>
      </c>
      <c r="D226" s="564" t="s">
        <v>770</v>
      </c>
      <c r="E226" s="696">
        <v>1457279.9999999998</v>
      </c>
      <c r="F226" s="566">
        <v>5</v>
      </c>
      <c r="G226" s="566">
        <v>5</v>
      </c>
      <c r="H226" s="566">
        <v>5</v>
      </c>
      <c r="I226" s="567">
        <v>2.1445792714936389</v>
      </c>
      <c r="J226" s="568">
        <v>1.4589116551573651</v>
      </c>
      <c r="K226" s="571">
        <v>0.4</v>
      </c>
      <c r="L226" s="571">
        <v>0.5</v>
      </c>
      <c r="M226" s="571">
        <v>0.04</v>
      </c>
      <c r="N226" s="571">
        <v>0.06</v>
      </c>
      <c r="O226" s="571">
        <v>0</v>
      </c>
      <c r="P226" s="571"/>
      <c r="Q226" s="572"/>
      <c r="S226" s="603">
        <f t="shared" si="41"/>
        <v>0</v>
      </c>
      <c r="T226" s="599">
        <f t="shared" si="42"/>
        <v>1</v>
      </c>
    </row>
    <row r="227" spans="1:20" ht="15">
      <c r="A227" s="1213"/>
      <c r="B227" s="564">
        <v>11</v>
      </c>
      <c r="C227" s="565" t="s">
        <v>1111</v>
      </c>
      <c r="D227" s="564" t="s">
        <v>771</v>
      </c>
      <c r="E227" s="696">
        <v>630077.80000000005</v>
      </c>
      <c r="F227" s="566">
        <v>2</v>
      </c>
      <c r="G227" s="566">
        <v>3.6333333333333333</v>
      </c>
      <c r="H227" s="566">
        <v>4.9000000000000004</v>
      </c>
      <c r="I227" s="567">
        <v>1.8860561874586299</v>
      </c>
      <c r="J227" s="568">
        <v>1.3064354950763004</v>
      </c>
      <c r="K227" s="571">
        <v>0.4</v>
      </c>
      <c r="L227" s="571">
        <v>0.5</v>
      </c>
      <c r="M227" s="571">
        <v>0.04</v>
      </c>
      <c r="N227" s="571">
        <v>0.06</v>
      </c>
      <c r="O227" s="571">
        <v>0</v>
      </c>
      <c r="P227" s="571"/>
      <c r="Q227" s="572"/>
      <c r="S227" s="603">
        <f t="shared" si="41"/>
        <v>1</v>
      </c>
      <c r="T227" s="599">
        <f t="shared" si="42"/>
        <v>0</v>
      </c>
    </row>
    <row r="228" spans="1:20" ht="15">
      <c r="A228" s="1213"/>
      <c r="B228" s="564">
        <v>12</v>
      </c>
      <c r="C228" s="565" t="s">
        <v>1031</v>
      </c>
      <c r="D228" s="564" t="s">
        <v>770</v>
      </c>
      <c r="E228" s="696">
        <v>612500</v>
      </c>
      <c r="F228" s="566">
        <v>4</v>
      </c>
      <c r="G228" s="566">
        <v>4.45</v>
      </c>
      <c r="H228" s="566">
        <v>4.9000000000000004</v>
      </c>
      <c r="I228" s="567">
        <v>1.8860561874586299</v>
      </c>
      <c r="J228" s="568">
        <v>1.3064354950763004</v>
      </c>
      <c r="K228" s="571">
        <v>0.4</v>
      </c>
      <c r="L228" s="571">
        <v>0.5</v>
      </c>
      <c r="M228" s="571">
        <v>0.04</v>
      </c>
      <c r="N228" s="571">
        <v>0.06</v>
      </c>
      <c r="O228" s="571">
        <v>0</v>
      </c>
      <c r="P228" s="571"/>
      <c r="Q228" s="572"/>
      <c r="S228" s="603">
        <f t="shared" si="41"/>
        <v>0</v>
      </c>
      <c r="T228" s="599">
        <f t="shared" si="42"/>
        <v>1</v>
      </c>
    </row>
    <row r="229" spans="1:20" ht="15">
      <c r="A229" s="1213"/>
      <c r="B229" s="564">
        <v>13</v>
      </c>
      <c r="C229" s="565" t="s">
        <v>1042</v>
      </c>
      <c r="D229" s="564" t="s">
        <v>770</v>
      </c>
      <c r="E229" s="696">
        <v>515518.19999999995</v>
      </c>
      <c r="F229" s="566">
        <v>2</v>
      </c>
      <c r="G229" s="566">
        <v>3.6333333333333333</v>
      </c>
      <c r="H229" s="566">
        <v>4.9000000000000004</v>
      </c>
      <c r="I229" s="567">
        <v>1.8860561874586299</v>
      </c>
      <c r="J229" s="568">
        <v>1.3064354950763004</v>
      </c>
      <c r="K229" s="571">
        <v>0.4</v>
      </c>
      <c r="L229" s="571">
        <v>0.5</v>
      </c>
      <c r="M229" s="571">
        <v>0.04</v>
      </c>
      <c r="N229" s="571">
        <v>0.06</v>
      </c>
      <c r="O229" s="571">
        <v>0</v>
      </c>
      <c r="P229" s="571"/>
      <c r="Q229" s="572"/>
      <c r="S229" s="603">
        <f t="shared" si="41"/>
        <v>0</v>
      </c>
      <c r="T229" s="599">
        <f t="shared" si="42"/>
        <v>1</v>
      </c>
    </row>
    <row r="230" spans="1:20" ht="15">
      <c r="A230" s="1213"/>
      <c r="B230" s="564">
        <v>14</v>
      </c>
      <c r="C230" s="565" t="s">
        <v>1030</v>
      </c>
      <c r="D230" s="564" t="s">
        <v>770</v>
      </c>
      <c r="E230" s="696">
        <v>401010</v>
      </c>
      <c r="F230" s="566">
        <v>4</v>
      </c>
      <c r="G230" s="566">
        <v>4</v>
      </c>
      <c r="H230" s="566">
        <v>4</v>
      </c>
      <c r="I230" s="567">
        <v>2.1098184810011325</v>
      </c>
      <c r="J230" s="568">
        <v>1.3360200985041808</v>
      </c>
      <c r="K230" s="571">
        <v>0.4</v>
      </c>
      <c r="L230" s="571">
        <v>0.5</v>
      </c>
      <c r="M230" s="571">
        <v>0.04</v>
      </c>
      <c r="N230" s="571">
        <v>0.06</v>
      </c>
      <c r="O230" s="571">
        <v>0</v>
      </c>
      <c r="P230" s="571"/>
      <c r="Q230" s="572"/>
      <c r="S230" s="603">
        <f t="shared" si="41"/>
        <v>0</v>
      </c>
      <c r="T230" s="599">
        <f t="shared" si="42"/>
        <v>1</v>
      </c>
    </row>
    <row r="231" spans="1:20" ht="15">
      <c r="A231" s="1213"/>
      <c r="B231" s="564">
        <v>15</v>
      </c>
      <c r="C231" s="565" t="s">
        <v>1044</v>
      </c>
      <c r="D231" s="564" t="s">
        <v>770</v>
      </c>
      <c r="E231" s="696">
        <v>316125</v>
      </c>
      <c r="F231" s="566">
        <v>4.9000000000000004</v>
      </c>
      <c r="G231" s="566">
        <v>4.9000000000000004</v>
      </c>
      <c r="H231" s="566">
        <v>4.9000000000000004</v>
      </c>
      <c r="I231" s="567">
        <v>2.6014241494118679</v>
      </c>
      <c r="J231" s="568">
        <v>1.6891138029720172</v>
      </c>
      <c r="K231" s="571">
        <v>0.4</v>
      </c>
      <c r="L231" s="571">
        <v>0.5</v>
      </c>
      <c r="M231" s="571">
        <v>0.04</v>
      </c>
      <c r="N231" s="571">
        <v>0.06</v>
      </c>
      <c r="O231" s="571">
        <v>0</v>
      </c>
      <c r="P231" s="571"/>
      <c r="Q231" s="572"/>
      <c r="S231" s="603">
        <f t="shared" si="41"/>
        <v>0</v>
      </c>
      <c r="T231" s="599">
        <f t="shared" si="42"/>
        <v>1</v>
      </c>
    </row>
    <row r="232" spans="1:20" ht="15">
      <c r="A232" s="1213"/>
      <c r="B232" s="564">
        <v>16</v>
      </c>
      <c r="C232" s="565" t="s">
        <v>1066</v>
      </c>
      <c r="D232" s="564" t="s">
        <v>770</v>
      </c>
      <c r="E232" s="696">
        <v>285169.5</v>
      </c>
      <c r="F232" s="566">
        <v>4</v>
      </c>
      <c r="G232" s="566">
        <v>5</v>
      </c>
      <c r="H232" s="566">
        <v>6</v>
      </c>
      <c r="I232" s="567">
        <v>2.1747396831740726</v>
      </c>
      <c r="J232" s="568">
        <v>1.3333567987466031</v>
      </c>
      <c r="K232" s="571">
        <v>0.30172413793103448</v>
      </c>
      <c r="L232" s="571">
        <v>0.52586206896551724</v>
      </c>
      <c r="M232" s="571">
        <v>0.12931034482758622</v>
      </c>
      <c r="N232" s="571">
        <v>4.3103448275862072E-2</v>
      </c>
      <c r="O232" s="571">
        <v>0</v>
      </c>
      <c r="P232" s="571"/>
      <c r="Q232" s="572"/>
      <c r="S232" s="603">
        <f t="shared" si="41"/>
        <v>0</v>
      </c>
      <c r="T232" s="599">
        <f t="shared" si="42"/>
        <v>1</v>
      </c>
    </row>
    <row r="233" spans="1:20" ht="15">
      <c r="A233" s="1213"/>
      <c r="B233" s="564">
        <v>17</v>
      </c>
      <c r="C233" s="565" t="s">
        <v>1100</v>
      </c>
      <c r="D233" s="564" t="s">
        <v>771</v>
      </c>
      <c r="E233" s="696">
        <v>262500</v>
      </c>
      <c r="F233" s="566">
        <v>4</v>
      </c>
      <c r="G233" s="566">
        <v>4.45</v>
      </c>
      <c r="H233" s="566">
        <v>4.9000000000000004</v>
      </c>
      <c r="I233" s="567">
        <v>1.8860561874586299</v>
      </c>
      <c r="J233" s="567">
        <v>1.3064354950763004</v>
      </c>
      <c r="K233" s="567">
        <v>0.4</v>
      </c>
      <c r="L233" s="567">
        <v>0.5</v>
      </c>
      <c r="M233" s="567">
        <v>0.04</v>
      </c>
      <c r="N233" s="567">
        <v>0.06</v>
      </c>
      <c r="O233" s="567">
        <v>0</v>
      </c>
      <c r="P233" s="567"/>
      <c r="Q233" s="692"/>
      <c r="S233" s="603">
        <f t="shared" si="41"/>
        <v>1</v>
      </c>
      <c r="T233" s="599">
        <f t="shared" si="42"/>
        <v>0</v>
      </c>
    </row>
    <row r="234" spans="1:20" ht="15">
      <c r="A234" s="1213"/>
      <c r="B234" s="564">
        <v>18</v>
      </c>
      <c r="C234" s="565" t="s">
        <v>1119</v>
      </c>
      <c r="D234" s="564" t="s">
        <v>771</v>
      </c>
      <c r="E234" s="696">
        <v>123495</v>
      </c>
      <c r="F234" s="566">
        <v>6</v>
      </c>
      <c r="G234" s="566">
        <v>6</v>
      </c>
      <c r="H234" s="566">
        <v>6</v>
      </c>
      <c r="I234" s="567">
        <v>2.1382274410872029</v>
      </c>
      <c r="J234" s="567">
        <v>1.2579324779507752</v>
      </c>
      <c r="K234" s="567">
        <v>0.4</v>
      </c>
      <c r="L234" s="567">
        <v>0.5</v>
      </c>
      <c r="M234" s="567">
        <v>0.04</v>
      </c>
      <c r="N234" s="567">
        <v>0.06</v>
      </c>
      <c r="O234" s="567">
        <v>0</v>
      </c>
      <c r="P234" s="567"/>
      <c r="Q234" s="692"/>
      <c r="S234" s="603">
        <f t="shared" si="41"/>
        <v>1</v>
      </c>
      <c r="T234" s="599">
        <f t="shared" si="42"/>
        <v>0</v>
      </c>
    </row>
    <row r="235" spans="1:20" ht="15">
      <c r="A235" s="1213"/>
      <c r="B235" s="564">
        <v>19</v>
      </c>
      <c r="C235" s="565" t="s">
        <v>1065</v>
      </c>
      <c r="D235" s="564" t="s">
        <v>770</v>
      </c>
      <c r="E235" s="696">
        <v>61250</v>
      </c>
      <c r="F235" s="566">
        <v>4</v>
      </c>
      <c r="G235" s="566">
        <v>5</v>
      </c>
      <c r="H235" s="566">
        <v>6</v>
      </c>
      <c r="I235" s="567">
        <v>2.1747396831740726</v>
      </c>
      <c r="J235" s="567">
        <v>1.3333567987466031</v>
      </c>
      <c r="K235" s="567">
        <v>0.30172413793103448</v>
      </c>
      <c r="L235" s="567">
        <v>0.52586206896551724</v>
      </c>
      <c r="M235" s="567">
        <v>0.12931034482758622</v>
      </c>
      <c r="N235" s="567">
        <v>4.3103448275862072E-2</v>
      </c>
      <c r="O235" s="567">
        <v>0</v>
      </c>
      <c r="P235" s="567"/>
      <c r="Q235" s="692"/>
      <c r="S235" s="603">
        <f t="shared" si="41"/>
        <v>0</v>
      </c>
      <c r="T235" s="599">
        <f t="shared" si="42"/>
        <v>1</v>
      </c>
    </row>
    <row r="236" spans="1:20" ht="15">
      <c r="A236" s="1213"/>
      <c r="B236" s="564">
        <v>20</v>
      </c>
      <c r="C236" s="565" t="s">
        <v>1067</v>
      </c>
      <c r="D236" s="564" t="s">
        <v>770</v>
      </c>
      <c r="E236" s="696">
        <v>57730.32</v>
      </c>
      <c r="F236" s="566">
        <v>4</v>
      </c>
      <c r="G236" s="566">
        <v>5</v>
      </c>
      <c r="H236" s="566">
        <v>6</v>
      </c>
      <c r="I236" s="567">
        <v>2.1747396831740726</v>
      </c>
      <c r="J236" s="567">
        <v>1.3333567987466031</v>
      </c>
      <c r="K236" s="567">
        <v>0.30172413793103448</v>
      </c>
      <c r="L236" s="567">
        <v>0.52586206896551724</v>
      </c>
      <c r="M236" s="567">
        <v>0.12931034482758622</v>
      </c>
      <c r="N236" s="567">
        <v>4.3103448275862072E-2</v>
      </c>
      <c r="O236" s="567">
        <v>0</v>
      </c>
      <c r="P236" s="567"/>
      <c r="Q236" s="692"/>
      <c r="S236" s="603">
        <f t="shared" si="41"/>
        <v>0</v>
      </c>
      <c r="T236" s="599">
        <f t="shared" si="42"/>
        <v>1</v>
      </c>
    </row>
    <row r="237" spans="1:20" ht="15">
      <c r="A237" s="1213"/>
      <c r="B237" s="564">
        <v>21</v>
      </c>
      <c r="C237" s="565" t="s">
        <v>1088</v>
      </c>
      <c r="D237" s="564" t="s">
        <v>770</v>
      </c>
      <c r="E237" s="696">
        <v>50000</v>
      </c>
      <c r="F237" s="566">
        <v>11</v>
      </c>
      <c r="G237" s="566">
        <v>11</v>
      </c>
      <c r="H237" s="566">
        <v>11</v>
      </c>
      <c r="I237" s="567">
        <v>2.5339182573320693</v>
      </c>
      <c r="J237" s="567">
        <v>1.4830906068478693</v>
      </c>
      <c r="K237" s="567">
        <v>0.4</v>
      </c>
      <c r="L237" s="567">
        <v>0.5</v>
      </c>
      <c r="M237" s="567">
        <v>0.04</v>
      </c>
      <c r="N237" s="567">
        <v>0.06</v>
      </c>
      <c r="O237" s="567">
        <v>0</v>
      </c>
      <c r="P237" s="567"/>
      <c r="Q237" s="692"/>
      <c r="S237" s="603">
        <f t="shared" si="41"/>
        <v>0</v>
      </c>
      <c r="T237" s="599">
        <f t="shared" si="42"/>
        <v>1</v>
      </c>
    </row>
    <row r="238" spans="1:20" ht="15">
      <c r="A238" s="1213"/>
      <c r="B238" s="564">
        <v>22</v>
      </c>
      <c r="C238" s="565" t="s">
        <v>1045</v>
      </c>
      <c r="D238" s="564" t="s">
        <v>770</v>
      </c>
      <c r="E238" s="696">
        <v>15134.999999999998</v>
      </c>
      <c r="F238" s="566">
        <v>4.9000000000000004</v>
      </c>
      <c r="G238" s="566">
        <v>4.9000000000000004</v>
      </c>
      <c r="H238" s="566">
        <v>4.9000000000000004</v>
      </c>
      <c r="I238" s="567">
        <v>2.6014241494118679</v>
      </c>
      <c r="J238" s="567">
        <v>1.6891138029720172</v>
      </c>
      <c r="K238" s="567">
        <v>0.4</v>
      </c>
      <c r="L238" s="567">
        <v>0.5</v>
      </c>
      <c r="M238" s="567">
        <v>0.04</v>
      </c>
      <c r="N238" s="567">
        <v>0.06</v>
      </c>
      <c r="O238" s="567">
        <v>0</v>
      </c>
      <c r="P238" s="567"/>
      <c r="Q238" s="692"/>
      <c r="S238" s="603">
        <f t="shared" si="41"/>
        <v>0</v>
      </c>
      <c r="T238" s="599">
        <f t="shared" si="42"/>
        <v>1</v>
      </c>
    </row>
    <row r="239" spans="1:20" ht="15">
      <c r="A239" s="1213"/>
      <c r="B239" s="564">
        <v>23</v>
      </c>
      <c r="C239" s="565"/>
      <c r="D239" s="564"/>
      <c r="E239" s="564"/>
      <c r="F239" s="566"/>
      <c r="G239" s="566"/>
      <c r="H239" s="566"/>
      <c r="I239" s="567"/>
      <c r="J239" s="567"/>
      <c r="K239" s="567"/>
      <c r="L239" s="567"/>
      <c r="M239" s="567"/>
      <c r="N239" s="567"/>
      <c r="O239" s="567"/>
      <c r="P239" s="567"/>
      <c r="Q239" s="692"/>
      <c r="S239" s="603">
        <f t="shared" si="41"/>
        <v>0</v>
      </c>
      <c r="T239" s="599">
        <f t="shared" si="42"/>
        <v>0</v>
      </c>
    </row>
    <row r="240" spans="1:20" ht="15">
      <c r="A240" s="1213"/>
      <c r="B240" s="564">
        <v>24</v>
      </c>
      <c r="C240" s="565"/>
      <c r="D240" s="564"/>
      <c r="E240" s="564"/>
      <c r="F240" s="566"/>
      <c r="G240" s="566"/>
      <c r="H240" s="566"/>
      <c r="I240" s="567"/>
      <c r="J240" s="567"/>
      <c r="K240" s="567"/>
      <c r="L240" s="567"/>
      <c r="M240" s="567"/>
      <c r="N240" s="567"/>
      <c r="O240" s="567"/>
      <c r="P240" s="567"/>
      <c r="Q240" s="692"/>
      <c r="S240" s="603">
        <f t="shared" si="41"/>
        <v>0</v>
      </c>
      <c r="T240" s="599">
        <f t="shared" si="42"/>
        <v>0</v>
      </c>
    </row>
    <row r="241" spans="1:20" ht="15">
      <c r="A241" s="1213"/>
      <c r="B241" s="564">
        <v>25</v>
      </c>
      <c r="C241" s="565"/>
      <c r="D241" s="564"/>
      <c r="E241" s="564"/>
      <c r="F241" s="566"/>
      <c r="G241" s="566"/>
      <c r="H241" s="566"/>
      <c r="I241" s="567"/>
      <c r="J241" s="567"/>
      <c r="K241" s="567"/>
      <c r="L241" s="567"/>
      <c r="M241" s="567"/>
      <c r="N241" s="567"/>
      <c r="O241" s="567"/>
      <c r="P241" s="567"/>
      <c r="Q241" s="692"/>
      <c r="S241" s="603">
        <f t="shared" si="41"/>
        <v>0</v>
      </c>
      <c r="T241" s="599">
        <f t="shared" si="42"/>
        <v>0</v>
      </c>
    </row>
    <row r="242" spans="1:20" ht="15">
      <c r="A242" s="1213"/>
      <c r="B242" s="564">
        <v>26</v>
      </c>
      <c r="C242" s="565"/>
      <c r="D242" s="564"/>
      <c r="E242" s="564"/>
      <c r="F242" s="695"/>
      <c r="G242" s="695"/>
      <c r="H242" s="695"/>
      <c r="I242" s="693"/>
      <c r="J242" s="693"/>
      <c r="K242" s="693"/>
      <c r="L242" s="693"/>
      <c r="M242" s="693"/>
      <c r="N242" s="693"/>
      <c r="O242" s="693"/>
      <c r="P242" s="693"/>
      <c r="Q242" s="694"/>
      <c r="S242" s="603">
        <f t="shared" si="41"/>
        <v>0</v>
      </c>
      <c r="T242" s="599">
        <f t="shared" si="42"/>
        <v>0</v>
      </c>
    </row>
    <row r="243" spans="1:20" ht="15">
      <c r="A243" s="1213"/>
      <c r="B243" s="564">
        <v>27</v>
      </c>
      <c r="C243" s="565"/>
      <c r="D243" s="564"/>
      <c r="E243" s="697"/>
      <c r="F243" s="695"/>
      <c r="G243" s="695"/>
      <c r="H243" s="695"/>
      <c r="I243" s="693"/>
      <c r="J243" s="693"/>
      <c r="K243" s="693"/>
      <c r="L243" s="693"/>
      <c r="M243" s="693"/>
      <c r="N243" s="693"/>
      <c r="O243" s="693"/>
      <c r="P243" s="693"/>
      <c r="Q243" s="694"/>
      <c r="S243" s="603">
        <f t="shared" si="41"/>
        <v>0</v>
      </c>
      <c r="T243" s="599">
        <f t="shared" si="42"/>
        <v>0</v>
      </c>
    </row>
    <row r="244" spans="1:20" ht="15">
      <c r="A244" s="1213"/>
      <c r="B244" s="564">
        <v>28</v>
      </c>
      <c r="C244" s="565"/>
      <c r="D244" s="564"/>
      <c r="E244" s="697"/>
      <c r="F244" s="695"/>
      <c r="G244" s="695"/>
      <c r="H244" s="695"/>
      <c r="I244" s="693"/>
      <c r="J244" s="693"/>
      <c r="K244" s="693"/>
      <c r="L244" s="693"/>
      <c r="M244" s="693"/>
      <c r="N244" s="693"/>
      <c r="O244" s="693"/>
      <c r="P244" s="693"/>
      <c r="Q244" s="694"/>
      <c r="S244" s="603">
        <f t="shared" si="41"/>
        <v>0</v>
      </c>
      <c r="T244" s="599">
        <f t="shared" si="42"/>
        <v>0</v>
      </c>
    </row>
    <row r="245" spans="1:20" ht="15">
      <c r="A245" s="1213"/>
      <c r="B245" s="564">
        <v>29</v>
      </c>
      <c r="C245" s="565"/>
      <c r="D245" s="564"/>
      <c r="E245" s="697"/>
      <c r="F245" s="695"/>
      <c r="G245" s="695"/>
      <c r="H245" s="695"/>
      <c r="I245" s="693"/>
      <c r="J245" s="693"/>
      <c r="K245" s="693"/>
      <c r="L245" s="693"/>
      <c r="M245" s="693"/>
      <c r="N245" s="693"/>
      <c r="O245" s="693"/>
      <c r="P245" s="693"/>
      <c r="Q245" s="694"/>
      <c r="S245" s="603">
        <f t="shared" si="41"/>
        <v>0</v>
      </c>
      <c r="T245" s="599">
        <f t="shared" si="42"/>
        <v>0</v>
      </c>
    </row>
    <row r="246" spans="1:20" ht="15">
      <c r="A246" s="1213"/>
      <c r="B246" s="564">
        <v>30</v>
      </c>
      <c r="C246" s="565"/>
      <c r="D246" s="564"/>
      <c r="E246" s="697"/>
      <c r="F246" s="695"/>
      <c r="G246" s="695"/>
      <c r="H246" s="695"/>
      <c r="I246" s="693"/>
      <c r="J246" s="693"/>
      <c r="K246" s="693"/>
      <c r="L246" s="693"/>
      <c r="M246" s="693"/>
      <c r="N246" s="693"/>
      <c r="O246" s="693"/>
      <c r="P246" s="693"/>
      <c r="Q246" s="694"/>
      <c r="S246" s="603">
        <f t="shared" si="41"/>
        <v>0</v>
      </c>
      <c r="T246" s="599">
        <f t="shared" si="42"/>
        <v>0</v>
      </c>
    </row>
    <row r="247" spans="1:20" ht="15">
      <c r="A247" s="1213"/>
      <c r="B247" s="564">
        <v>31</v>
      </c>
      <c r="C247" s="565"/>
      <c r="D247" s="564"/>
      <c r="E247" s="696"/>
      <c r="F247" s="566"/>
      <c r="G247" s="566"/>
      <c r="H247" s="566"/>
      <c r="I247" s="567"/>
      <c r="J247" s="567"/>
      <c r="K247" s="567"/>
      <c r="L247" s="567"/>
      <c r="M247" s="567"/>
      <c r="N247" s="567"/>
      <c r="O247" s="567"/>
      <c r="P247" s="567"/>
      <c r="Q247" s="692"/>
      <c r="S247" s="603">
        <f t="shared" si="41"/>
        <v>0</v>
      </c>
      <c r="T247" s="599">
        <f t="shared" si="42"/>
        <v>0</v>
      </c>
    </row>
    <row r="248" spans="1:20" ht="15">
      <c r="A248" s="1213"/>
      <c r="B248" s="564">
        <v>32</v>
      </c>
      <c r="C248" s="565"/>
      <c r="D248" s="564"/>
      <c r="E248" s="696"/>
      <c r="F248" s="566"/>
      <c r="G248" s="566"/>
      <c r="H248" s="566"/>
      <c r="I248" s="567"/>
      <c r="J248" s="567"/>
      <c r="K248" s="567"/>
      <c r="L248" s="567"/>
      <c r="M248" s="567"/>
      <c r="N248" s="567"/>
      <c r="O248" s="567"/>
      <c r="P248" s="567"/>
      <c r="Q248" s="692"/>
      <c r="S248" s="603">
        <f t="shared" si="41"/>
        <v>0</v>
      </c>
      <c r="T248" s="599">
        <f t="shared" si="42"/>
        <v>0</v>
      </c>
    </row>
    <row r="249" spans="1:20" ht="15">
      <c r="A249" s="1213"/>
      <c r="B249" s="564">
        <v>33</v>
      </c>
      <c r="C249" s="565"/>
      <c r="D249" s="564"/>
      <c r="E249" s="696"/>
      <c r="F249" s="566"/>
      <c r="G249" s="566"/>
      <c r="H249" s="566"/>
      <c r="I249" s="567"/>
      <c r="J249" s="567"/>
      <c r="K249" s="567"/>
      <c r="L249" s="567"/>
      <c r="M249" s="567"/>
      <c r="N249" s="567"/>
      <c r="O249" s="567"/>
      <c r="P249" s="567"/>
      <c r="Q249" s="692"/>
      <c r="S249" s="603">
        <f t="shared" si="41"/>
        <v>0</v>
      </c>
      <c r="T249" s="599">
        <f t="shared" si="42"/>
        <v>0</v>
      </c>
    </row>
    <row r="250" spans="1:20" ht="15">
      <c r="A250" s="1213"/>
      <c r="B250" s="564">
        <v>34</v>
      </c>
      <c r="C250" s="565"/>
      <c r="D250" s="564"/>
      <c r="E250" s="696"/>
      <c r="F250" s="566"/>
      <c r="G250" s="566"/>
      <c r="H250" s="566"/>
      <c r="I250" s="567"/>
      <c r="J250" s="567"/>
      <c r="K250" s="567"/>
      <c r="L250" s="567"/>
      <c r="M250" s="567"/>
      <c r="N250" s="567"/>
      <c r="O250" s="567"/>
      <c r="P250" s="567"/>
      <c r="Q250" s="692"/>
      <c r="S250" s="603">
        <f t="shared" si="41"/>
        <v>0</v>
      </c>
      <c r="T250" s="599">
        <f t="shared" si="42"/>
        <v>0</v>
      </c>
    </row>
    <row r="251" spans="1:20" ht="15">
      <c r="A251" s="1213"/>
      <c r="B251" s="564">
        <v>35</v>
      </c>
      <c r="C251" s="565"/>
      <c r="D251" s="564"/>
      <c r="E251" s="696"/>
      <c r="F251" s="566"/>
      <c r="G251" s="566"/>
      <c r="H251" s="566"/>
      <c r="I251" s="567"/>
      <c r="J251" s="567"/>
      <c r="K251" s="567"/>
      <c r="L251" s="567"/>
      <c r="M251" s="567"/>
      <c r="N251" s="567"/>
      <c r="O251" s="567"/>
      <c r="P251" s="567"/>
      <c r="Q251" s="692"/>
      <c r="S251" s="603">
        <f t="shared" si="41"/>
        <v>0</v>
      </c>
      <c r="T251" s="599">
        <f t="shared" si="42"/>
        <v>0</v>
      </c>
    </row>
    <row r="252" spans="1:20" ht="15">
      <c r="A252" s="1213"/>
      <c r="B252" s="564">
        <v>36</v>
      </c>
      <c r="C252" s="565"/>
      <c r="D252" s="564"/>
      <c r="E252" s="696"/>
      <c r="F252" s="566"/>
      <c r="G252" s="566"/>
      <c r="H252" s="566"/>
      <c r="I252" s="567"/>
      <c r="J252" s="567"/>
      <c r="K252" s="567"/>
      <c r="L252" s="567"/>
      <c r="M252" s="567"/>
      <c r="N252" s="567"/>
      <c r="O252" s="567"/>
      <c r="P252" s="567"/>
      <c r="Q252" s="692"/>
      <c r="S252" s="603">
        <f t="shared" si="41"/>
        <v>0</v>
      </c>
      <c r="T252" s="599">
        <f t="shared" si="42"/>
        <v>0</v>
      </c>
    </row>
    <row r="253" spans="1:20" ht="15">
      <c r="A253" s="1213"/>
      <c r="B253" s="564">
        <v>37</v>
      </c>
      <c r="C253" s="565"/>
      <c r="D253" s="564"/>
      <c r="E253" s="696"/>
      <c r="F253" s="566"/>
      <c r="G253" s="566"/>
      <c r="H253" s="566"/>
      <c r="I253" s="567"/>
      <c r="J253" s="567"/>
      <c r="K253" s="567"/>
      <c r="L253" s="567"/>
      <c r="M253" s="567"/>
      <c r="N253" s="567"/>
      <c r="O253" s="567"/>
      <c r="P253" s="567"/>
      <c r="Q253" s="692"/>
      <c r="S253" s="603">
        <f t="shared" si="41"/>
        <v>0</v>
      </c>
      <c r="T253" s="599">
        <f t="shared" si="42"/>
        <v>0</v>
      </c>
    </row>
    <row r="254" spans="1:20" ht="15">
      <c r="A254" s="1213"/>
      <c r="B254" s="564">
        <v>38</v>
      </c>
      <c r="C254" s="565"/>
      <c r="D254" s="564"/>
      <c r="E254" s="696"/>
      <c r="F254" s="566"/>
      <c r="G254" s="566"/>
      <c r="H254" s="566"/>
      <c r="I254" s="567"/>
      <c r="J254" s="567"/>
      <c r="K254" s="567"/>
      <c r="L254" s="567"/>
      <c r="M254" s="567"/>
      <c r="N254" s="567"/>
      <c r="O254" s="567"/>
      <c r="P254" s="567"/>
      <c r="Q254" s="692"/>
      <c r="S254" s="603">
        <f t="shared" si="41"/>
        <v>0</v>
      </c>
      <c r="T254" s="599">
        <f t="shared" si="42"/>
        <v>0</v>
      </c>
    </row>
    <row r="255" spans="1:20" ht="15">
      <c r="A255" s="1213"/>
      <c r="B255" s="564">
        <v>39</v>
      </c>
      <c r="C255" s="565"/>
      <c r="D255" s="564"/>
      <c r="E255" s="696"/>
      <c r="F255" s="566"/>
      <c r="G255" s="566"/>
      <c r="H255" s="566"/>
      <c r="I255" s="567"/>
      <c r="J255" s="567"/>
      <c r="K255" s="567"/>
      <c r="L255" s="567"/>
      <c r="M255" s="567"/>
      <c r="N255" s="567"/>
      <c r="O255" s="567"/>
      <c r="P255" s="567"/>
      <c r="Q255" s="692"/>
      <c r="S255" s="603">
        <f t="shared" si="41"/>
        <v>0</v>
      </c>
      <c r="T255" s="599">
        <f t="shared" si="42"/>
        <v>0</v>
      </c>
    </row>
    <row r="256" spans="1:20" ht="15.75" thickBot="1">
      <c r="A256" s="1213"/>
      <c r="B256" s="564">
        <v>40</v>
      </c>
      <c r="C256" s="565"/>
      <c r="D256" s="564"/>
      <c r="E256" s="696"/>
      <c r="F256" s="566"/>
      <c r="G256" s="566"/>
      <c r="H256" s="566"/>
      <c r="I256" s="567"/>
      <c r="J256" s="567"/>
      <c r="K256" s="567"/>
      <c r="L256" s="567"/>
      <c r="M256" s="567"/>
      <c r="N256" s="567"/>
      <c r="O256" s="567"/>
      <c r="P256" s="567"/>
      <c r="Q256" s="692"/>
      <c r="S256" s="604">
        <f t="shared" si="41"/>
        <v>0</v>
      </c>
      <c r="T256" s="600">
        <f t="shared" si="42"/>
        <v>0</v>
      </c>
    </row>
    <row r="257" spans="1:20" ht="15.75" thickBot="1">
      <c r="A257" s="1213"/>
      <c r="B257" s="576"/>
      <c r="C257" s="576"/>
      <c r="D257" s="576"/>
      <c r="E257" s="576"/>
      <c r="F257" s="576"/>
      <c r="G257" s="576"/>
      <c r="H257" s="576"/>
      <c r="I257" s="576"/>
      <c r="J257" s="576"/>
      <c r="K257" s="576"/>
      <c r="L257" s="576"/>
      <c r="M257" s="576"/>
      <c r="N257" s="576"/>
      <c r="O257" s="576"/>
      <c r="P257" s="576"/>
      <c r="Q257" s="576"/>
    </row>
    <row r="258" spans="1:20" ht="15">
      <c r="A258" s="1213"/>
      <c r="B258" s="613"/>
      <c r="C258" s="614"/>
      <c r="D258" s="617" t="s">
        <v>968</v>
      </c>
      <c r="E258" s="577">
        <f>SUMPRODUCT(T217:T256,E217:E256)</f>
        <v>50028582.920000002</v>
      </c>
      <c r="F258" s="578"/>
      <c r="G258" s="578"/>
      <c r="H258" s="578"/>
      <c r="I258" s="579"/>
      <c r="J258" s="580"/>
      <c r="K258" s="581"/>
      <c r="L258" s="581"/>
      <c r="M258" s="581"/>
      <c r="N258" s="581"/>
      <c r="O258" s="581"/>
      <c r="P258" s="581"/>
      <c r="Q258" s="582"/>
      <c r="S258" s="606">
        <f>SUM(S217:S256)</f>
        <v>6</v>
      </c>
      <c r="T258" s="606">
        <f>SUM(T217:T256)</f>
        <v>16</v>
      </c>
    </row>
    <row r="259" spans="1:20" ht="15.75" thickBot="1">
      <c r="A259" s="1213"/>
      <c r="B259" s="615"/>
      <c r="C259" s="616"/>
      <c r="D259" s="618" t="s">
        <v>969</v>
      </c>
      <c r="E259" s="583"/>
      <c r="F259" s="584">
        <f>IF($T258=0,0,(SUMPRODUCT($T217:$T256,F217:F256,$E217:$E256)/$E258))</f>
        <v>2.3192300802430963</v>
      </c>
      <c r="G259" s="584">
        <f t="shared" ref="G259" si="43">IF($T258=0,0,(SUMPRODUCT($T217:$T256,G217:G256,$E217:$E256)/$E258))</f>
        <v>4.1827502908611267</v>
      </c>
      <c r="H259" s="584">
        <f t="shared" ref="H259" si="44">IF($T258=0,0,(SUMPRODUCT($T217:$T256,H217:H256,$E217:$E256)/$E258))</f>
        <v>4.3667488723264434</v>
      </c>
      <c r="I259" s="585">
        <f t="shared" ref="I259:Q259" si="45">IF($T258=0,0,(SUMPRODUCT($T217:$T256,I217:I256,$E217:$E256)/$E258))</f>
        <v>2.1439327314227543</v>
      </c>
      <c r="J259" s="586">
        <f t="shared" si="45"/>
        <v>1.4352972311788772</v>
      </c>
      <c r="K259" s="587">
        <f t="shared" si="45"/>
        <v>0.42367807614670738</v>
      </c>
      <c r="L259" s="587">
        <f t="shared" si="45"/>
        <v>0.52774948871059901</v>
      </c>
      <c r="M259" s="587">
        <f t="shared" si="45"/>
        <v>2.1043246840047606E-2</v>
      </c>
      <c r="N259" s="587">
        <f t="shared" si="45"/>
        <v>2.7529188302645852E-2</v>
      </c>
      <c r="O259" s="587">
        <f t="shared" si="45"/>
        <v>0</v>
      </c>
      <c r="P259" s="587">
        <f t="shared" si="45"/>
        <v>0</v>
      </c>
      <c r="Q259" s="588">
        <f t="shared" si="45"/>
        <v>0</v>
      </c>
    </row>
    <row r="260" spans="1:20" ht="15">
      <c r="A260" s="1213"/>
      <c r="B260" s="613"/>
      <c r="C260" s="614"/>
      <c r="D260" s="617" t="s">
        <v>970</v>
      </c>
      <c r="E260" s="577">
        <f>SUMPRODUCT(S217:S256,E217:E256)</f>
        <v>8816770.3000000007</v>
      </c>
      <c r="F260" s="578"/>
      <c r="G260" s="578"/>
      <c r="H260" s="578"/>
      <c r="I260" s="579"/>
      <c r="J260" s="589"/>
      <c r="K260" s="581"/>
      <c r="L260" s="581"/>
      <c r="M260" s="581"/>
      <c r="N260" s="581"/>
      <c r="O260" s="581"/>
      <c r="P260" s="581"/>
      <c r="Q260" s="582"/>
    </row>
    <row r="261" spans="1:20" ht="15.75" thickBot="1">
      <c r="A261" s="1213"/>
      <c r="B261" s="615"/>
      <c r="C261" s="616"/>
      <c r="D261" s="618" t="s">
        <v>971</v>
      </c>
      <c r="E261" s="583"/>
      <c r="F261" s="584">
        <f>IF($S258=0,0,(SUMPRODUCT($S217:$S256,F217:F256,$E217:$E256)/$E260))</f>
        <v>2.9352582884006857</v>
      </c>
      <c r="G261" s="584">
        <f t="shared" ref="G261" si="46">IF($S258=0,0,(SUMPRODUCT($S217:$S256,G217:G256,$E217:$E256)/$E260))</f>
        <v>4.3507867811111431</v>
      </c>
      <c r="H261" s="584">
        <f t="shared" ref="H261" si="47">IF($S258=0,0,(SUMPRODUCT($S217:$S256,H217:H256,$E217:$E256)/$E260))</f>
        <v>4.6122742326631778</v>
      </c>
      <c r="I261" s="585">
        <f t="shared" ref="I261:Q261" si="48">IF($S258=0,0,(SUMPRODUCT($S217:$S256,I217:I256,$E217:$E256)/$E260))</f>
        <v>2.1183183644931209</v>
      </c>
      <c r="J261" s="586">
        <f t="shared" si="48"/>
        <v>1.4406604414440243</v>
      </c>
      <c r="K261" s="587">
        <f t="shared" si="48"/>
        <v>0.4218225743047882</v>
      </c>
      <c r="L261" s="587">
        <f t="shared" si="48"/>
        <v>0.51558755307484871</v>
      </c>
      <c r="M261" s="587">
        <f t="shared" si="48"/>
        <v>2.5035949048145208E-2</v>
      </c>
      <c r="N261" s="587">
        <f t="shared" si="48"/>
        <v>3.7553923572217818E-2</v>
      </c>
      <c r="O261" s="587">
        <f t="shared" si="48"/>
        <v>0</v>
      </c>
      <c r="P261" s="587">
        <f t="shared" si="48"/>
        <v>0</v>
      </c>
      <c r="Q261" s="588">
        <f t="shared" si="48"/>
        <v>0</v>
      </c>
    </row>
    <row r="262" spans="1:20" ht="15">
      <c r="A262" s="1213"/>
      <c r="B262" s="613"/>
      <c r="C262" s="614"/>
      <c r="D262" s="617" t="s">
        <v>972</v>
      </c>
      <c r="E262" s="577">
        <f>SUM(E217:E256)</f>
        <v>58845353.219999999</v>
      </c>
      <c r="F262" s="578"/>
      <c r="G262" s="578"/>
      <c r="H262" s="578"/>
      <c r="I262" s="579"/>
      <c r="J262" s="580"/>
      <c r="K262" s="581"/>
      <c r="L262" s="581"/>
      <c r="M262" s="581"/>
      <c r="N262" s="581"/>
      <c r="O262" s="581"/>
      <c r="P262" s="581"/>
      <c r="Q262" s="582"/>
    </row>
    <row r="263" spans="1:20" ht="15.75" thickBot="1">
      <c r="A263" s="1213"/>
      <c r="B263" s="615"/>
      <c r="C263" s="616"/>
      <c r="D263" s="618" t="s">
        <v>973</v>
      </c>
      <c r="E263" s="583"/>
      <c r="F263" s="584">
        <f>SUMPRODUCT($E217:$E256,F217:F256)/$E262</f>
        <v>2.4115292833652227</v>
      </c>
      <c r="G263" s="584">
        <f t="shared" ref="G263" si="49">SUMPRODUCT($E217:$E256,G217:G256)/$E262</f>
        <v>4.2079271154612563</v>
      </c>
      <c r="H263" s="584">
        <f t="shared" ref="H263" si="50">SUMPRODUCT($E217:$E256,H217:H256)/$E262</f>
        <v>4.4035358161794376</v>
      </c>
      <c r="I263" s="585">
        <f t="shared" ref="I263:Q263" si="51">SUMPRODUCT($E217:$E256,I217:I256)/$E262</f>
        <v>2.1400949434371137</v>
      </c>
      <c r="J263" s="586">
        <f t="shared" si="51"/>
        <v>1.4361007983322873</v>
      </c>
      <c r="K263" s="801">
        <f t="shared" si="51"/>
        <v>0.42340006721930301</v>
      </c>
      <c r="L263" s="801">
        <f t="shared" si="51"/>
        <v>0.52592727188231514</v>
      </c>
      <c r="M263" s="801">
        <f t="shared" si="51"/>
        <v>2.1641471446049883E-2</v>
      </c>
      <c r="N263" s="801">
        <f t="shared" si="51"/>
        <v>2.9031189452331949E-2</v>
      </c>
      <c r="O263" s="801">
        <f t="shared" si="51"/>
        <v>0</v>
      </c>
      <c r="P263" s="587">
        <f t="shared" si="51"/>
        <v>0</v>
      </c>
      <c r="Q263" s="588">
        <f t="shared" si="51"/>
        <v>0</v>
      </c>
    </row>
    <row r="264" spans="1:20" ht="15">
      <c r="A264" s="557"/>
      <c r="B264" s="557"/>
      <c r="C264" s="557"/>
      <c r="D264" s="557"/>
      <c r="E264" s="557"/>
      <c r="F264" s="557"/>
      <c r="G264" s="557"/>
      <c r="H264" s="557"/>
      <c r="I264" s="557"/>
      <c r="J264" s="590"/>
      <c r="K264" s="557"/>
      <c r="L264" s="557"/>
      <c r="M264" s="557"/>
      <c r="N264" s="557"/>
      <c r="O264" s="557"/>
      <c r="P264" s="557"/>
      <c r="Q264" s="557"/>
    </row>
    <row r="265" spans="1:20" ht="15">
      <c r="A265" s="591"/>
      <c r="B265" s="554"/>
      <c r="C265" s="591"/>
      <c r="D265" s="591"/>
      <c r="E265" s="591"/>
      <c r="F265" s="591"/>
      <c r="G265" s="591"/>
      <c r="H265" s="591"/>
      <c r="I265" s="591"/>
      <c r="J265" s="591"/>
      <c r="K265" s="554"/>
      <c r="L265" s="591"/>
      <c r="M265" s="591"/>
      <c r="N265" s="591"/>
      <c r="O265" s="591"/>
      <c r="P265" s="591"/>
      <c r="Q265" s="591"/>
      <c r="R265" s="592"/>
    </row>
    <row r="266" spans="1:20" ht="15">
      <c r="A266" s="557"/>
      <c r="B266" s="799" t="s">
        <v>1173</v>
      </c>
      <c r="C266" s="800" t="s">
        <v>1135</v>
      </c>
      <c r="D266" s="557"/>
      <c r="E266" s="557"/>
      <c r="F266" s="557"/>
      <c r="G266" s="557"/>
      <c r="H266" s="557"/>
      <c r="I266" s="557"/>
      <c r="J266" s="557"/>
      <c r="K266" s="557"/>
      <c r="L266" s="557"/>
      <c r="M266" s="557"/>
      <c r="N266" s="557"/>
      <c r="O266" s="557"/>
      <c r="P266" s="557"/>
      <c r="Q266" s="557"/>
    </row>
    <row r="267" spans="1:20" ht="15" customHeight="1" thickBot="1">
      <c r="A267" s="557"/>
      <c r="B267" s="799" t="s">
        <v>1174</v>
      </c>
      <c r="C267" s="800" t="s">
        <v>1186</v>
      </c>
      <c r="D267" s="557"/>
      <c r="E267" s="557"/>
      <c r="F267" s="608"/>
      <c r="G267" s="609" t="s">
        <v>173</v>
      </c>
      <c r="H267" s="609"/>
      <c r="I267" s="557"/>
      <c r="J267" s="557"/>
      <c r="K267" s="610"/>
      <c r="L267" s="611"/>
      <c r="M267" s="611" t="s">
        <v>954</v>
      </c>
      <c r="N267" s="611"/>
      <c r="O267" s="611"/>
      <c r="P267" s="611"/>
      <c r="Q267" s="612"/>
    </row>
    <row r="268" spans="1:20" ht="30.75" customHeight="1" thickBot="1">
      <c r="A268" s="1213" t="s">
        <v>1229</v>
      </c>
      <c r="B268" s="558" t="s">
        <v>955</v>
      </c>
      <c r="C268" s="559" t="s">
        <v>104</v>
      </c>
      <c r="D268" s="558" t="s">
        <v>769</v>
      </c>
      <c r="E268" s="558" t="s">
        <v>255</v>
      </c>
      <c r="F268" s="560" t="s">
        <v>956</v>
      </c>
      <c r="G268" s="560" t="s">
        <v>957</v>
      </c>
      <c r="H268" s="560" t="s">
        <v>958</v>
      </c>
      <c r="I268" s="561" t="s">
        <v>959</v>
      </c>
      <c r="J268" s="562" t="s">
        <v>960</v>
      </c>
      <c r="K268" s="562" t="s">
        <v>961</v>
      </c>
      <c r="L268" s="562" t="s">
        <v>962</v>
      </c>
      <c r="M268" s="562" t="s">
        <v>963</v>
      </c>
      <c r="N268" s="562" t="s">
        <v>964</v>
      </c>
      <c r="O268" s="562" t="s">
        <v>965</v>
      </c>
      <c r="P268" s="562" t="s">
        <v>966</v>
      </c>
      <c r="Q268" s="563" t="s">
        <v>967</v>
      </c>
      <c r="S268" s="602" t="s">
        <v>771</v>
      </c>
      <c r="T268" s="601" t="s">
        <v>770</v>
      </c>
    </row>
    <row r="269" spans="1:20" ht="15">
      <c r="A269" s="1213"/>
      <c r="B269" s="564">
        <v>1</v>
      </c>
      <c r="C269" s="565" t="s">
        <v>1062</v>
      </c>
      <c r="D269" s="564" t="s">
        <v>770</v>
      </c>
      <c r="E269" s="696">
        <v>4219178.0821917811</v>
      </c>
      <c r="F269" s="566">
        <v>10</v>
      </c>
      <c r="G269" s="566">
        <v>10</v>
      </c>
      <c r="H269" s="566">
        <v>10</v>
      </c>
      <c r="I269" s="567">
        <v>2.0986375819090441</v>
      </c>
      <c r="J269" s="568">
        <v>1.3375573102673859</v>
      </c>
      <c r="K269" s="569">
        <v>0.21153846153846154</v>
      </c>
      <c r="L269" s="569">
        <v>0.55769230769230771</v>
      </c>
      <c r="M269" s="569">
        <v>0.19230769230769232</v>
      </c>
      <c r="N269" s="569">
        <v>3.8461538461538464E-2</v>
      </c>
      <c r="O269" s="569">
        <v>0</v>
      </c>
      <c r="P269" s="569"/>
      <c r="Q269" s="570"/>
      <c r="S269" s="603">
        <f>IF(D269="Commercial",1,0)</f>
        <v>0</v>
      </c>
      <c r="T269" s="599">
        <f>IF(D269="Residential",1,0)</f>
        <v>1</v>
      </c>
    </row>
    <row r="270" spans="1:20" ht="15">
      <c r="A270" s="1213"/>
      <c r="B270" s="564">
        <v>2</v>
      </c>
      <c r="C270" s="565" t="s">
        <v>1074</v>
      </c>
      <c r="D270" s="564" t="s">
        <v>770</v>
      </c>
      <c r="E270" s="696">
        <v>1347500</v>
      </c>
      <c r="F270" s="566">
        <v>5</v>
      </c>
      <c r="G270" s="566">
        <v>5</v>
      </c>
      <c r="H270" s="566">
        <v>5</v>
      </c>
      <c r="I270" s="567">
        <v>2.1747396831740726</v>
      </c>
      <c r="J270" s="568">
        <v>1.3333567987466031</v>
      </c>
      <c r="K270" s="571">
        <v>0.30172413793103448</v>
      </c>
      <c r="L270" s="571">
        <v>0.52586206896551724</v>
      </c>
      <c r="M270" s="571">
        <v>0.12931034482758622</v>
      </c>
      <c r="N270" s="571">
        <v>4.3103448275862072E-2</v>
      </c>
      <c r="O270" s="571">
        <v>0</v>
      </c>
      <c r="P270" s="571"/>
      <c r="Q270" s="572"/>
      <c r="S270" s="603">
        <f t="shared" ref="S270:S308" si="52">IF(D270="Commercial",1,0)</f>
        <v>0</v>
      </c>
      <c r="T270" s="599">
        <f t="shared" ref="T270:T308" si="53">IF(D270="Residential",1,0)</f>
        <v>1</v>
      </c>
    </row>
    <row r="271" spans="1:20" ht="15">
      <c r="A271" s="1213"/>
      <c r="B271" s="564">
        <v>3</v>
      </c>
      <c r="C271" s="565" t="s">
        <v>1064</v>
      </c>
      <c r="D271" s="564" t="s">
        <v>770</v>
      </c>
      <c r="E271" s="696">
        <v>1150000</v>
      </c>
      <c r="F271" s="566">
        <v>10</v>
      </c>
      <c r="G271" s="566">
        <v>10</v>
      </c>
      <c r="H271" s="566">
        <v>10</v>
      </c>
      <c r="I271" s="567">
        <v>2.0986375819090441</v>
      </c>
      <c r="J271" s="568">
        <v>1.3375573102673859</v>
      </c>
      <c r="K271" s="571">
        <v>0.21153846153846154</v>
      </c>
      <c r="L271" s="571">
        <v>0.55769230769230771</v>
      </c>
      <c r="M271" s="571">
        <v>0.19230769230769232</v>
      </c>
      <c r="N271" s="571">
        <v>3.8461538461538464E-2</v>
      </c>
      <c r="O271" s="571">
        <v>0</v>
      </c>
      <c r="P271" s="571"/>
      <c r="Q271" s="572"/>
      <c r="S271" s="603">
        <f t="shared" si="52"/>
        <v>0</v>
      </c>
      <c r="T271" s="599">
        <f t="shared" si="53"/>
        <v>1</v>
      </c>
    </row>
    <row r="272" spans="1:20" ht="15">
      <c r="A272" s="1213"/>
      <c r="B272" s="564">
        <v>4</v>
      </c>
      <c r="C272" s="565" t="s">
        <v>1075</v>
      </c>
      <c r="D272" s="564" t="s">
        <v>770</v>
      </c>
      <c r="E272" s="696">
        <v>500000</v>
      </c>
      <c r="F272" s="566">
        <v>2</v>
      </c>
      <c r="G272" s="566">
        <v>4.666666666666667</v>
      </c>
      <c r="H272" s="566">
        <v>7</v>
      </c>
      <c r="I272" s="567">
        <v>2.1747396831740726</v>
      </c>
      <c r="J272" s="568">
        <v>1.3333567987466031</v>
      </c>
      <c r="K272" s="571">
        <v>0.30172413793103448</v>
      </c>
      <c r="L272" s="571">
        <v>0.52586206896551724</v>
      </c>
      <c r="M272" s="571">
        <v>0.12931034482758622</v>
      </c>
      <c r="N272" s="571">
        <v>4.3103448275862072E-2</v>
      </c>
      <c r="O272" s="571">
        <v>0</v>
      </c>
      <c r="P272" s="571"/>
      <c r="Q272" s="572"/>
      <c r="S272" s="603">
        <f t="shared" si="52"/>
        <v>0</v>
      </c>
      <c r="T272" s="599">
        <f t="shared" si="53"/>
        <v>1</v>
      </c>
    </row>
    <row r="273" spans="1:20" ht="15">
      <c r="A273" s="1213"/>
      <c r="B273" s="564">
        <v>5</v>
      </c>
      <c r="C273" s="565" t="s">
        <v>1122</v>
      </c>
      <c r="D273" s="564" t="s">
        <v>771</v>
      </c>
      <c r="E273" s="696">
        <v>402500</v>
      </c>
      <c r="F273" s="566">
        <v>5</v>
      </c>
      <c r="G273" s="566">
        <v>5</v>
      </c>
      <c r="H273" s="566">
        <v>5</v>
      </c>
      <c r="I273" s="567">
        <v>2.1747396831740726</v>
      </c>
      <c r="J273" s="568">
        <v>1.3333567987466031</v>
      </c>
      <c r="K273" s="571">
        <v>0.30172413793103448</v>
      </c>
      <c r="L273" s="571">
        <v>0.52586206896551724</v>
      </c>
      <c r="M273" s="571">
        <v>0.12931034482758622</v>
      </c>
      <c r="N273" s="571">
        <v>4.3103448275862072E-2</v>
      </c>
      <c r="O273" s="571">
        <v>0</v>
      </c>
      <c r="P273" s="571"/>
      <c r="Q273" s="572"/>
      <c r="S273" s="603">
        <f t="shared" si="52"/>
        <v>1</v>
      </c>
      <c r="T273" s="599">
        <f t="shared" si="53"/>
        <v>0</v>
      </c>
    </row>
    <row r="274" spans="1:20" ht="15">
      <c r="A274" s="1213"/>
      <c r="B274" s="564">
        <v>6</v>
      </c>
      <c r="C274" s="565" t="s">
        <v>1063</v>
      </c>
      <c r="D274" s="564" t="s">
        <v>770</v>
      </c>
      <c r="E274" s="696">
        <v>375000</v>
      </c>
      <c r="F274" s="566">
        <v>10</v>
      </c>
      <c r="G274" s="566">
        <v>10</v>
      </c>
      <c r="H274" s="566">
        <v>10</v>
      </c>
      <c r="I274" s="567">
        <v>2.0986375819090441</v>
      </c>
      <c r="J274" s="568">
        <v>1.3375573102673859</v>
      </c>
      <c r="K274" s="571">
        <v>0.21153846153846154</v>
      </c>
      <c r="L274" s="571">
        <v>0.55769230769230771</v>
      </c>
      <c r="M274" s="571">
        <v>0.19230769230769232</v>
      </c>
      <c r="N274" s="571">
        <v>3.8461538461538464E-2</v>
      </c>
      <c r="O274" s="571">
        <v>0</v>
      </c>
      <c r="P274" s="571"/>
      <c r="Q274" s="572"/>
      <c r="S274" s="603">
        <f t="shared" si="52"/>
        <v>0</v>
      </c>
      <c r="T274" s="599">
        <f t="shared" si="53"/>
        <v>1</v>
      </c>
    </row>
    <row r="275" spans="1:20" ht="15">
      <c r="A275" s="1213"/>
      <c r="B275" s="564">
        <v>7</v>
      </c>
      <c r="C275" s="565"/>
      <c r="D275" s="564"/>
      <c r="E275" s="696"/>
      <c r="F275" s="566"/>
      <c r="G275" s="566"/>
      <c r="H275" s="566"/>
      <c r="I275" s="567"/>
      <c r="J275" s="568"/>
      <c r="K275" s="571"/>
      <c r="L275" s="571"/>
      <c r="M275" s="571"/>
      <c r="N275" s="571"/>
      <c r="O275" s="571"/>
      <c r="P275" s="571"/>
      <c r="Q275" s="572"/>
      <c r="S275" s="603">
        <f t="shared" si="52"/>
        <v>0</v>
      </c>
      <c r="T275" s="599">
        <f t="shared" si="53"/>
        <v>0</v>
      </c>
    </row>
    <row r="276" spans="1:20" ht="15">
      <c r="A276" s="1213"/>
      <c r="B276" s="564">
        <v>8</v>
      </c>
      <c r="C276" s="565"/>
      <c r="D276" s="564"/>
      <c r="E276" s="696"/>
      <c r="F276" s="566"/>
      <c r="G276" s="566"/>
      <c r="H276" s="566"/>
      <c r="I276" s="567"/>
      <c r="J276" s="568"/>
      <c r="K276" s="571"/>
      <c r="L276" s="571"/>
      <c r="M276" s="571"/>
      <c r="N276" s="571"/>
      <c r="O276" s="571"/>
      <c r="P276" s="571"/>
      <c r="Q276" s="572"/>
      <c r="S276" s="603">
        <f t="shared" si="52"/>
        <v>0</v>
      </c>
      <c r="T276" s="599">
        <f t="shared" si="53"/>
        <v>0</v>
      </c>
    </row>
    <row r="277" spans="1:20" ht="15">
      <c r="A277" s="1213"/>
      <c r="B277" s="564">
        <v>9</v>
      </c>
      <c r="C277" s="565"/>
      <c r="D277" s="564"/>
      <c r="E277" s="696"/>
      <c r="F277" s="566"/>
      <c r="G277" s="566"/>
      <c r="H277" s="566"/>
      <c r="I277" s="567"/>
      <c r="J277" s="568"/>
      <c r="K277" s="571"/>
      <c r="L277" s="571"/>
      <c r="M277" s="571"/>
      <c r="N277" s="571"/>
      <c r="O277" s="571"/>
      <c r="P277" s="571"/>
      <c r="Q277" s="572"/>
      <c r="S277" s="603">
        <f t="shared" si="52"/>
        <v>0</v>
      </c>
      <c r="T277" s="599">
        <f t="shared" si="53"/>
        <v>0</v>
      </c>
    </row>
    <row r="278" spans="1:20" ht="15">
      <c r="A278" s="1213"/>
      <c r="B278" s="564">
        <v>10</v>
      </c>
      <c r="C278" s="565"/>
      <c r="D278" s="564"/>
      <c r="E278" s="696"/>
      <c r="F278" s="566"/>
      <c r="G278" s="566"/>
      <c r="H278" s="566"/>
      <c r="I278" s="567"/>
      <c r="J278" s="568"/>
      <c r="K278" s="571"/>
      <c r="L278" s="571"/>
      <c r="M278" s="571"/>
      <c r="N278" s="571"/>
      <c r="O278" s="571"/>
      <c r="P278" s="571"/>
      <c r="Q278" s="572"/>
      <c r="S278" s="603">
        <f t="shared" si="52"/>
        <v>0</v>
      </c>
      <c r="T278" s="599">
        <f t="shared" si="53"/>
        <v>0</v>
      </c>
    </row>
    <row r="279" spans="1:20" ht="15">
      <c r="A279" s="1213"/>
      <c r="B279" s="564">
        <v>11</v>
      </c>
      <c r="C279" s="565"/>
      <c r="D279" s="564"/>
      <c r="E279" s="696"/>
      <c r="F279" s="566"/>
      <c r="G279" s="566"/>
      <c r="H279" s="566"/>
      <c r="I279" s="567"/>
      <c r="J279" s="568"/>
      <c r="K279" s="571"/>
      <c r="L279" s="571"/>
      <c r="M279" s="571"/>
      <c r="N279" s="571"/>
      <c r="O279" s="571"/>
      <c r="P279" s="571"/>
      <c r="Q279" s="572"/>
      <c r="S279" s="603">
        <f t="shared" si="52"/>
        <v>0</v>
      </c>
      <c r="T279" s="599">
        <f t="shared" si="53"/>
        <v>0</v>
      </c>
    </row>
    <row r="280" spans="1:20" ht="15">
      <c r="A280" s="1213"/>
      <c r="B280" s="564">
        <v>12</v>
      </c>
      <c r="C280" s="565"/>
      <c r="D280" s="564"/>
      <c r="E280" s="696"/>
      <c r="F280" s="566"/>
      <c r="G280" s="566"/>
      <c r="H280" s="566"/>
      <c r="I280" s="567"/>
      <c r="J280" s="568"/>
      <c r="K280" s="571"/>
      <c r="L280" s="571"/>
      <c r="M280" s="571"/>
      <c r="N280" s="571"/>
      <c r="O280" s="571"/>
      <c r="P280" s="571"/>
      <c r="Q280" s="572"/>
      <c r="S280" s="603">
        <f t="shared" si="52"/>
        <v>0</v>
      </c>
      <c r="T280" s="599">
        <f t="shared" si="53"/>
        <v>0</v>
      </c>
    </row>
    <row r="281" spans="1:20" ht="15">
      <c r="A281" s="1213"/>
      <c r="B281" s="564">
        <v>13</v>
      </c>
      <c r="C281" s="565"/>
      <c r="D281" s="564"/>
      <c r="E281" s="696"/>
      <c r="F281" s="566"/>
      <c r="G281" s="566"/>
      <c r="H281" s="566"/>
      <c r="I281" s="567"/>
      <c r="J281" s="568"/>
      <c r="K281" s="571"/>
      <c r="L281" s="571"/>
      <c r="M281" s="571"/>
      <c r="N281" s="571"/>
      <c r="O281" s="571"/>
      <c r="P281" s="571"/>
      <c r="Q281" s="572"/>
      <c r="S281" s="603">
        <f t="shared" si="52"/>
        <v>0</v>
      </c>
      <c r="T281" s="599">
        <f t="shared" si="53"/>
        <v>0</v>
      </c>
    </row>
    <row r="282" spans="1:20" ht="15">
      <c r="A282" s="1213"/>
      <c r="B282" s="564">
        <v>14</v>
      </c>
      <c r="C282" s="565"/>
      <c r="D282" s="564"/>
      <c r="E282" s="696"/>
      <c r="F282" s="566"/>
      <c r="G282" s="566"/>
      <c r="H282" s="566"/>
      <c r="I282" s="567"/>
      <c r="J282" s="568"/>
      <c r="K282" s="571"/>
      <c r="L282" s="571"/>
      <c r="M282" s="571"/>
      <c r="N282" s="571"/>
      <c r="O282" s="571"/>
      <c r="P282" s="571"/>
      <c r="Q282" s="572"/>
      <c r="S282" s="603">
        <f t="shared" si="52"/>
        <v>0</v>
      </c>
      <c r="T282" s="599">
        <f t="shared" si="53"/>
        <v>0</v>
      </c>
    </row>
    <row r="283" spans="1:20" ht="15">
      <c r="A283" s="1213"/>
      <c r="B283" s="564">
        <v>15</v>
      </c>
      <c r="C283" s="565"/>
      <c r="D283" s="564"/>
      <c r="E283" s="696"/>
      <c r="F283" s="566"/>
      <c r="G283" s="566"/>
      <c r="H283" s="566"/>
      <c r="I283" s="567"/>
      <c r="J283" s="568"/>
      <c r="K283" s="571"/>
      <c r="L283" s="571"/>
      <c r="M283" s="571"/>
      <c r="N283" s="571"/>
      <c r="O283" s="571"/>
      <c r="P283" s="571"/>
      <c r="Q283" s="572"/>
      <c r="S283" s="603">
        <f t="shared" si="52"/>
        <v>0</v>
      </c>
      <c r="T283" s="599">
        <f t="shared" si="53"/>
        <v>0</v>
      </c>
    </row>
    <row r="284" spans="1:20" ht="15">
      <c r="A284" s="1213"/>
      <c r="B284" s="564">
        <v>16</v>
      </c>
      <c r="C284" s="565"/>
      <c r="D284" s="564"/>
      <c r="E284" s="696"/>
      <c r="F284" s="566"/>
      <c r="G284" s="566"/>
      <c r="H284" s="566"/>
      <c r="I284" s="567"/>
      <c r="J284" s="568"/>
      <c r="K284" s="571"/>
      <c r="L284" s="571"/>
      <c r="M284" s="571"/>
      <c r="N284" s="571"/>
      <c r="O284" s="571"/>
      <c r="P284" s="571"/>
      <c r="Q284" s="572"/>
      <c r="S284" s="603">
        <f t="shared" si="52"/>
        <v>0</v>
      </c>
      <c r="T284" s="599">
        <f t="shared" si="53"/>
        <v>0</v>
      </c>
    </row>
    <row r="285" spans="1:20" ht="15">
      <c r="A285" s="1213"/>
      <c r="B285" s="564">
        <v>17</v>
      </c>
      <c r="C285" s="565"/>
      <c r="D285" s="564"/>
      <c r="E285" s="696"/>
      <c r="F285" s="566"/>
      <c r="G285" s="566"/>
      <c r="H285" s="566"/>
      <c r="I285" s="567"/>
      <c r="J285" s="567"/>
      <c r="K285" s="567"/>
      <c r="L285" s="567"/>
      <c r="M285" s="567"/>
      <c r="N285" s="567"/>
      <c r="O285" s="567"/>
      <c r="P285" s="567"/>
      <c r="Q285" s="692"/>
      <c r="S285" s="603">
        <f t="shared" si="52"/>
        <v>0</v>
      </c>
      <c r="T285" s="599">
        <f t="shared" si="53"/>
        <v>0</v>
      </c>
    </row>
    <row r="286" spans="1:20" ht="15">
      <c r="A286" s="1213"/>
      <c r="B286" s="564">
        <v>18</v>
      </c>
      <c r="C286" s="565"/>
      <c r="D286" s="564"/>
      <c r="E286" s="696"/>
      <c r="F286" s="566"/>
      <c r="G286" s="566"/>
      <c r="H286" s="566"/>
      <c r="I286" s="567"/>
      <c r="J286" s="567"/>
      <c r="K286" s="567"/>
      <c r="L286" s="567"/>
      <c r="M286" s="567"/>
      <c r="N286" s="567"/>
      <c r="O286" s="567"/>
      <c r="P286" s="567"/>
      <c r="Q286" s="692"/>
      <c r="S286" s="603">
        <f t="shared" si="52"/>
        <v>0</v>
      </c>
      <c r="T286" s="599">
        <f t="shared" si="53"/>
        <v>0</v>
      </c>
    </row>
    <row r="287" spans="1:20" ht="15">
      <c r="A287" s="1213"/>
      <c r="B287" s="564">
        <v>19</v>
      </c>
      <c r="C287" s="565"/>
      <c r="D287" s="564"/>
      <c r="E287" s="696"/>
      <c r="F287" s="566"/>
      <c r="G287" s="566"/>
      <c r="H287" s="566"/>
      <c r="I287" s="567"/>
      <c r="J287" s="567"/>
      <c r="K287" s="567"/>
      <c r="L287" s="567"/>
      <c r="M287" s="567"/>
      <c r="N287" s="567"/>
      <c r="O287" s="567"/>
      <c r="P287" s="567"/>
      <c r="Q287" s="692"/>
      <c r="S287" s="603">
        <f t="shared" si="52"/>
        <v>0</v>
      </c>
      <c r="T287" s="599">
        <f t="shared" si="53"/>
        <v>0</v>
      </c>
    </row>
    <row r="288" spans="1:20" ht="15">
      <c r="A288" s="1213"/>
      <c r="B288" s="564">
        <v>20</v>
      </c>
      <c r="C288" s="565"/>
      <c r="D288" s="564"/>
      <c r="E288" s="696"/>
      <c r="F288" s="566"/>
      <c r="G288" s="566"/>
      <c r="H288" s="566"/>
      <c r="I288" s="567"/>
      <c r="J288" s="567"/>
      <c r="K288" s="567"/>
      <c r="L288" s="567"/>
      <c r="M288" s="567"/>
      <c r="N288" s="567"/>
      <c r="O288" s="567"/>
      <c r="P288" s="567"/>
      <c r="Q288" s="692"/>
      <c r="S288" s="603">
        <f t="shared" si="52"/>
        <v>0</v>
      </c>
      <c r="T288" s="599">
        <f t="shared" si="53"/>
        <v>0</v>
      </c>
    </row>
    <row r="289" spans="1:20" ht="15">
      <c r="A289" s="1213"/>
      <c r="B289" s="564">
        <v>21</v>
      </c>
      <c r="C289" s="565"/>
      <c r="D289" s="564"/>
      <c r="E289" s="696"/>
      <c r="F289" s="566"/>
      <c r="G289" s="566"/>
      <c r="H289" s="566"/>
      <c r="I289" s="567"/>
      <c r="J289" s="567"/>
      <c r="K289" s="567"/>
      <c r="L289" s="567"/>
      <c r="M289" s="567"/>
      <c r="N289" s="567"/>
      <c r="O289" s="567"/>
      <c r="P289" s="567"/>
      <c r="Q289" s="692"/>
      <c r="S289" s="603">
        <f t="shared" si="52"/>
        <v>0</v>
      </c>
      <c r="T289" s="599">
        <f t="shared" si="53"/>
        <v>0</v>
      </c>
    </row>
    <row r="290" spans="1:20" ht="15">
      <c r="A290" s="1213"/>
      <c r="B290" s="564">
        <v>22</v>
      </c>
      <c r="C290" s="565"/>
      <c r="D290" s="564"/>
      <c r="E290" s="696"/>
      <c r="F290" s="566"/>
      <c r="G290" s="566"/>
      <c r="H290" s="566"/>
      <c r="I290" s="567"/>
      <c r="J290" s="567"/>
      <c r="K290" s="567"/>
      <c r="L290" s="567"/>
      <c r="M290" s="567"/>
      <c r="N290" s="567"/>
      <c r="O290" s="567"/>
      <c r="P290" s="567"/>
      <c r="Q290" s="692"/>
      <c r="S290" s="603">
        <f t="shared" si="52"/>
        <v>0</v>
      </c>
      <c r="T290" s="599">
        <f t="shared" si="53"/>
        <v>0</v>
      </c>
    </row>
    <row r="291" spans="1:20" ht="15">
      <c r="A291" s="1213"/>
      <c r="B291" s="564">
        <v>23</v>
      </c>
      <c r="C291" s="565"/>
      <c r="D291" s="564"/>
      <c r="E291" s="696"/>
      <c r="F291" s="566"/>
      <c r="G291" s="566"/>
      <c r="H291" s="566"/>
      <c r="I291" s="567"/>
      <c r="J291" s="567"/>
      <c r="K291" s="567"/>
      <c r="L291" s="567"/>
      <c r="M291" s="567"/>
      <c r="N291" s="567"/>
      <c r="O291" s="567"/>
      <c r="P291" s="567"/>
      <c r="Q291" s="692"/>
      <c r="S291" s="603">
        <f t="shared" si="52"/>
        <v>0</v>
      </c>
      <c r="T291" s="599">
        <f t="shared" si="53"/>
        <v>0</v>
      </c>
    </row>
    <row r="292" spans="1:20" ht="15">
      <c r="A292" s="1213"/>
      <c r="B292" s="564">
        <v>24</v>
      </c>
      <c r="C292" s="565"/>
      <c r="D292" s="564"/>
      <c r="E292" s="696"/>
      <c r="F292" s="566"/>
      <c r="G292" s="566"/>
      <c r="H292" s="566"/>
      <c r="I292" s="567"/>
      <c r="J292" s="567"/>
      <c r="K292" s="567"/>
      <c r="L292" s="567"/>
      <c r="M292" s="567"/>
      <c r="N292" s="567"/>
      <c r="O292" s="567"/>
      <c r="P292" s="567"/>
      <c r="Q292" s="692"/>
      <c r="S292" s="603">
        <f t="shared" si="52"/>
        <v>0</v>
      </c>
      <c r="T292" s="599">
        <f t="shared" si="53"/>
        <v>0</v>
      </c>
    </row>
    <row r="293" spans="1:20" ht="15">
      <c r="A293" s="1213"/>
      <c r="B293" s="564">
        <v>25</v>
      </c>
      <c r="C293" s="565"/>
      <c r="D293" s="564"/>
      <c r="E293" s="696"/>
      <c r="F293" s="566"/>
      <c r="G293" s="566"/>
      <c r="H293" s="566"/>
      <c r="I293" s="567"/>
      <c r="J293" s="567"/>
      <c r="K293" s="567"/>
      <c r="L293" s="567"/>
      <c r="M293" s="567"/>
      <c r="N293" s="567"/>
      <c r="O293" s="567"/>
      <c r="P293" s="567"/>
      <c r="Q293" s="692"/>
      <c r="S293" s="603">
        <f t="shared" si="52"/>
        <v>0</v>
      </c>
      <c r="T293" s="599">
        <f t="shared" si="53"/>
        <v>0</v>
      </c>
    </row>
    <row r="294" spans="1:20" ht="15">
      <c r="A294" s="1213"/>
      <c r="B294" s="564">
        <v>26</v>
      </c>
      <c r="C294" s="565"/>
      <c r="D294" s="564"/>
      <c r="E294" s="696"/>
      <c r="F294" s="695"/>
      <c r="G294" s="695"/>
      <c r="H294" s="695"/>
      <c r="I294" s="693"/>
      <c r="J294" s="693"/>
      <c r="K294" s="693"/>
      <c r="L294" s="693"/>
      <c r="M294" s="693"/>
      <c r="N294" s="693"/>
      <c r="O294" s="693"/>
      <c r="P294" s="693"/>
      <c r="Q294" s="694"/>
      <c r="S294" s="603">
        <f t="shared" si="52"/>
        <v>0</v>
      </c>
      <c r="T294" s="599">
        <f t="shared" si="53"/>
        <v>0</v>
      </c>
    </row>
    <row r="295" spans="1:20" ht="15">
      <c r="A295" s="1213"/>
      <c r="B295" s="564">
        <v>27</v>
      </c>
      <c r="C295" s="565"/>
      <c r="D295" s="564"/>
      <c r="E295" s="697"/>
      <c r="F295" s="695"/>
      <c r="G295" s="695"/>
      <c r="H295" s="695"/>
      <c r="I295" s="693"/>
      <c r="J295" s="693"/>
      <c r="K295" s="693"/>
      <c r="L295" s="693"/>
      <c r="M295" s="693"/>
      <c r="N295" s="693"/>
      <c r="O295" s="693"/>
      <c r="P295" s="693"/>
      <c r="Q295" s="694"/>
      <c r="S295" s="603">
        <f t="shared" si="52"/>
        <v>0</v>
      </c>
      <c r="T295" s="599">
        <f t="shared" si="53"/>
        <v>0</v>
      </c>
    </row>
    <row r="296" spans="1:20" ht="15">
      <c r="A296" s="1213"/>
      <c r="B296" s="564">
        <v>28</v>
      </c>
      <c r="C296" s="565"/>
      <c r="D296" s="564"/>
      <c r="E296" s="697"/>
      <c r="F296" s="695"/>
      <c r="G296" s="695"/>
      <c r="H296" s="695"/>
      <c r="I296" s="693"/>
      <c r="J296" s="693"/>
      <c r="K296" s="693"/>
      <c r="L296" s="693"/>
      <c r="M296" s="693"/>
      <c r="N296" s="693"/>
      <c r="O296" s="693"/>
      <c r="P296" s="693"/>
      <c r="Q296" s="694"/>
      <c r="S296" s="603">
        <f t="shared" si="52"/>
        <v>0</v>
      </c>
      <c r="T296" s="599">
        <f t="shared" si="53"/>
        <v>0</v>
      </c>
    </row>
    <row r="297" spans="1:20" ht="15">
      <c r="A297" s="1213"/>
      <c r="B297" s="564">
        <v>29</v>
      </c>
      <c r="C297" s="565"/>
      <c r="D297" s="564"/>
      <c r="E297" s="697"/>
      <c r="F297" s="695"/>
      <c r="G297" s="695"/>
      <c r="H297" s="695"/>
      <c r="I297" s="693"/>
      <c r="J297" s="693"/>
      <c r="K297" s="693"/>
      <c r="L297" s="693"/>
      <c r="M297" s="693"/>
      <c r="N297" s="693"/>
      <c r="O297" s="693"/>
      <c r="P297" s="693"/>
      <c r="Q297" s="694"/>
      <c r="S297" s="603">
        <f t="shared" si="52"/>
        <v>0</v>
      </c>
      <c r="T297" s="599">
        <f t="shared" si="53"/>
        <v>0</v>
      </c>
    </row>
    <row r="298" spans="1:20" ht="15">
      <c r="A298" s="1213"/>
      <c r="B298" s="564">
        <v>30</v>
      </c>
      <c r="C298" s="565"/>
      <c r="D298" s="564"/>
      <c r="E298" s="697"/>
      <c r="F298" s="695"/>
      <c r="G298" s="695"/>
      <c r="H298" s="695"/>
      <c r="I298" s="693"/>
      <c r="J298" s="693"/>
      <c r="K298" s="693"/>
      <c r="L298" s="693"/>
      <c r="M298" s="693"/>
      <c r="N298" s="693"/>
      <c r="O298" s="693"/>
      <c r="P298" s="693"/>
      <c r="Q298" s="694"/>
      <c r="S298" s="603">
        <f t="shared" si="52"/>
        <v>0</v>
      </c>
      <c r="T298" s="599">
        <f t="shared" si="53"/>
        <v>0</v>
      </c>
    </row>
    <row r="299" spans="1:20" ht="15">
      <c r="A299" s="1213"/>
      <c r="B299" s="564">
        <v>31</v>
      </c>
      <c r="C299" s="565"/>
      <c r="D299" s="564"/>
      <c r="E299" s="696"/>
      <c r="F299" s="566"/>
      <c r="G299" s="566"/>
      <c r="H299" s="566"/>
      <c r="I299" s="567"/>
      <c r="J299" s="567"/>
      <c r="K299" s="567"/>
      <c r="L299" s="567"/>
      <c r="M299" s="567"/>
      <c r="N299" s="567"/>
      <c r="O299" s="567"/>
      <c r="P299" s="567"/>
      <c r="Q299" s="692"/>
      <c r="S299" s="603">
        <f t="shared" si="52"/>
        <v>0</v>
      </c>
      <c r="T299" s="599">
        <f t="shared" si="53"/>
        <v>0</v>
      </c>
    </row>
    <row r="300" spans="1:20" ht="15">
      <c r="A300" s="1213"/>
      <c r="B300" s="564">
        <v>32</v>
      </c>
      <c r="C300" s="565"/>
      <c r="D300" s="564"/>
      <c r="E300" s="696"/>
      <c r="F300" s="566"/>
      <c r="G300" s="566"/>
      <c r="H300" s="566"/>
      <c r="I300" s="567"/>
      <c r="J300" s="567"/>
      <c r="K300" s="567"/>
      <c r="L300" s="567"/>
      <c r="M300" s="567"/>
      <c r="N300" s="567"/>
      <c r="O300" s="567"/>
      <c r="P300" s="567"/>
      <c r="Q300" s="692"/>
      <c r="S300" s="603">
        <f t="shared" si="52"/>
        <v>0</v>
      </c>
      <c r="T300" s="599">
        <f t="shared" si="53"/>
        <v>0</v>
      </c>
    </row>
    <row r="301" spans="1:20" ht="15">
      <c r="A301" s="1213"/>
      <c r="B301" s="564">
        <v>33</v>
      </c>
      <c r="C301" s="565"/>
      <c r="D301" s="564"/>
      <c r="E301" s="696"/>
      <c r="F301" s="566"/>
      <c r="G301" s="566"/>
      <c r="H301" s="566"/>
      <c r="I301" s="567"/>
      <c r="J301" s="567"/>
      <c r="K301" s="567"/>
      <c r="L301" s="567"/>
      <c r="M301" s="567"/>
      <c r="N301" s="567"/>
      <c r="O301" s="567"/>
      <c r="P301" s="567"/>
      <c r="Q301" s="692"/>
      <c r="S301" s="603">
        <f t="shared" si="52"/>
        <v>0</v>
      </c>
      <c r="T301" s="599">
        <f t="shared" si="53"/>
        <v>0</v>
      </c>
    </row>
    <row r="302" spans="1:20" ht="15">
      <c r="A302" s="1213"/>
      <c r="B302" s="564">
        <v>34</v>
      </c>
      <c r="C302" s="565"/>
      <c r="D302" s="564"/>
      <c r="E302" s="696"/>
      <c r="F302" s="566"/>
      <c r="G302" s="566"/>
      <c r="H302" s="566"/>
      <c r="I302" s="567"/>
      <c r="J302" s="567"/>
      <c r="K302" s="567"/>
      <c r="L302" s="567"/>
      <c r="M302" s="567"/>
      <c r="N302" s="567"/>
      <c r="O302" s="567"/>
      <c r="P302" s="567"/>
      <c r="Q302" s="692"/>
      <c r="S302" s="603">
        <f t="shared" si="52"/>
        <v>0</v>
      </c>
      <c r="T302" s="599">
        <f t="shared" si="53"/>
        <v>0</v>
      </c>
    </row>
    <row r="303" spans="1:20" ht="15">
      <c r="A303" s="1213"/>
      <c r="B303" s="564">
        <v>35</v>
      </c>
      <c r="C303" s="565"/>
      <c r="D303" s="564"/>
      <c r="E303" s="696"/>
      <c r="F303" s="566"/>
      <c r="G303" s="566"/>
      <c r="H303" s="566"/>
      <c r="I303" s="567"/>
      <c r="J303" s="567"/>
      <c r="K303" s="567"/>
      <c r="L303" s="567"/>
      <c r="M303" s="567"/>
      <c r="N303" s="567"/>
      <c r="O303" s="567"/>
      <c r="P303" s="567"/>
      <c r="Q303" s="692"/>
      <c r="S303" s="603">
        <f t="shared" si="52"/>
        <v>0</v>
      </c>
      <c r="T303" s="599">
        <f t="shared" si="53"/>
        <v>0</v>
      </c>
    </row>
    <row r="304" spans="1:20" ht="15">
      <c r="A304" s="1213"/>
      <c r="B304" s="564">
        <v>36</v>
      </c>
      <c r="C304" s="565"/>
      <c r="D304" s="564"/>
      <c r="E304" s="696"/>
      <c r="F304" s="566"/>
      <c r="G304" s="566"/>
      <c r="H304" s="566"/>
      <c r="I304" s="567"/>
      <c r="J304" s="567"/>
      <c r="K304" s="567"/>
      <c r="L304" s="567"/>
      <c r="M304" s="567"/>
      <c r="N304" s="567"/>
      <c r="O304" s="567"/>
      <c r="P304" s="567"/>
      <c r="Q304" s="692"/>
      <c r="S304" s="603">
        <f t="shared" si="52"/>
        <v>0</v>
      </c>
      <c r="T304" s="599">
        <f t="shared" si="53"/>
        <v>0</v>
      </c>
    </row>
    <row r="305" spans="1:20" ht="15">
      <c r="A305" s="1213"/>
      <c r="B305" s="564">
        <v>37</v>
      </c>
      <c r="C305" s="565"/>
      <c r="D305" s="564"/>
      <c r="E305" s="696"/>
      <c r="F305" s="566"/>
      <c r="G305" s="566"/>
      <c r="H305" s="566"/>
      <c r="I305" s="567"/>
      <c r="J305" s="567"/>
      <c r="K305" s="567"/>
      <c r="L305" s="567"/>
      <c r="M305" s="567"/>
      <c r="N305" s="567"/>
      <c r="O305" s="567"/>
      <c r="P305" s="567"/>
      <c r="Q305" s="692"/>
      <c r="S305" s="603">
        <f t="shared" si="52"/>
        <v>0</v>
      </c>
      <c r="T305" s="599">
        <f t="shared" si="53"/>
        <v>0</v>
      </c>
    </row>
    <row r="306" spans="1:20" ht="15">
      <c r="A306" s="1213"/>
      <c r="B306" s="564">
        <v>38</v>
      </c>
      <c r="C306" s="565"/>
      <c r="D306" s="564"/>
      <c r="E306" s="696"/>
      <c r="F306" s="566"/>
      <c r="G306" s="566"/>
      <c r="H306" s="566"/>
      <c r="I306" s="567"/>
      <c r="J306" s="567"/>
      <c r="K306" s="567"/>
      <c r="L306" s="567"/>
      <c r="M306" s="567"/>
      <c r="N306" s="567"/>
      <c r="O306" s="567"/>
      <c r="P306" s="567"/>
      <c r="Q306" s="692"/>
      <c r="S306" s="603">
        <f t="shared" si="52"/>
        <v>0</v>
      </c>
      <c r="T306" s="599">
        <f t="shared" si="53"/>
        <v>0</v>
      </c>
    </row>
    <row r="307" spans="1:20" ht="15">
      <c r="A307" s="1213"/>
      <c r="B307" s="564">
        <v>39</v>
      </c>
      <c r="C307" s="565"/>
      <c r="D307" s="564"/>
      <c r="E307" s="696"/>
      <c r="F307" s="566"/>
      <c r="G307" s="566"/>
      <c r="H307" s="566"/>
      <c r="I307" s="567"/>
      <c r="J307" s="567"/>
      <c r="K307" s="567"/>
      <c r="L307" s="567"/>
      <c r="M307" s="567"/>
      <c r="N307" s="567"/>
      <c r="O307" s="567"/>
      <c r="P307" s="567"/>
      <c r="Q307" s="692"/>
      <c r="S307" s="603">
        <f t="shared" si="52"/>
        <v>0</v>
      </c>
      <c r="T307" s="599">
        <f t="shared" si="53"/>
        <v>0</v>
      </c>
    </row>
    <row r="308" spans="1:20" ht="15.75" thickBot="1">
      <c r="A308" s="1213"/>
      <c r="B308" s="564">
        <v>40</v>
      </c>
      <c r="C308" s="565"/>
      <c r="D308" s="564"/>
      <c r="E308" s="696"/>
      <c r="F308" s="566"/>
      <c r="G308" s="566"/>
      <c r="H308" s="566"/>
      <c r="I308" s="567"/>
      <c r="J308" s="567"/>
      <c r="K308" s="567"/>
      <c r="L308" s="567"/>
      <c r="M308" s="567"/>
      <c r="N308" s="567"/>
      <c r="O308" s="567"/>
      <c r="P308" s="567"/>
      <c r="Q308" s="692"/>
      <c r="S308" s="604">
        <f t="shared" si="52"/>
        <v>0</v>
      </c>
      <c r="T308" s="600">
        <f t="shared" si="53"/>
        <v>0</v>
      </c>
    </row>
    <row r="309" spans="1:20" ht="15.75" thickBot="1">
      <c r="A309" s="1213"/>
      <c r="B309" s="576"/>
      <c r="C309" s="576"/>
      <c r="D309" s="576"/>
      <c r="E309" s="576"/>
      <c r="F309" s="576"/>
      <c r="G309" s="576"/>
      <c r="H309" s="576"/>
      <c r="I309" s="576"/>
      <c r="J309" s="576"/>
      <c r="K309" s="576"/>
      <c r="L309" s="576"/>
      <c r="M309" s="576"/>
      <c r="N309" s="576"/>
      <c r="O309" s="576"/>
      <c r="P309" s="576"/>
      <c r="Q309" s="576"/>
    </row>
    <row r="310" spans="1:20" ht="15">
      <c r="A310" s="1213"/>
      <c r="B310" s="613"/>
      <c r="C310" s="614"/>
      <c r="D310" s="617" t="s">
        <v>968</v>
      </c>
      <c r="E310" s="577">
        <f>SUMPRODUCT(T269:T308,E269:E308)</f>
        <v>7591678.0821917811</v>
      </c>
      <c r="F310" s="578"/>
      <c r="G310" s="578"/>
      <c r="H310" s="578"/>
      <c r="I310" s="579"/>
      <c r="J310" s="580"/>
      <c r="K310" s="581"/>
      <c r="L310" s="581"/>
      <c r="M310" s="581"/>
      <c r="N310" s="581"/>
      <c r="O310" s="581"/>
      <c r="P310" s="581"/>
      <c r="Q310" s="582"/>
      <c r="S310" s="606">
        <f>SUM(S269:S308)</f>
        <v>1</v>
      </c>
      <c r="T310" s="606">
        <f>SUM(T269:T308)</f>
        <v>5</v>
      </c>
    </row>
    <row r="311" spans="1:20" ht="15.75" thickBot="1">
      <c r="A311" s="1213"/>
      <c r="B311" s="615"/>
      <c r="C311" s="616"/>
      <c r="D311" s="618" t="s">
        <v>969</v>
      </c>
      <c r="E311" s="583"/>
      <c r="F311" s="584">
        <f>IF($T310=0,0,(SUMPRODUCT($T269:$T308,F269:F308,$E269:$E308)/$E310))</f>
        <v>8.5856223243728493</v>
      </c>
      <c r="G311" s="584">
        <f t="shared" ref="G311" si="54">IF($T310=0,0,(SUMPRODUCT($T269:$T308,G269:G308,$E269:$E308)/$E310))</f>
        <v>8.7612532348116101</v>
      </c>
      <c r="H311" s="584">
        <f t="shared" ref="H311" si="55">IF($T310=0,0,(SUMPRODUCT($T269:$T308,H269:H308,$E269:$E308)/$E310))</f>
        <v>8.9149302814455247</v>
      </c>
      <c r="I311" s="585">
        <f t="shared" ref="I311:Q311" si="56">IF($T310=0,0,(SUMPRODUCT($T269:$T308,I269:I308,$E269:$E308)/$E310))</f>
        <v>2.1171576812289761</v>
      </c>
      <c r="J311" s="586">
        <f t="shared" si="56"/>
        <v>1.3365350797472522</v>
      </c>
      <c r="K311" s="587">
        <f t="shared" si="56"/>
        <v>0.23348591970665278</v>
      </c>
      <c r="L311" s="587">
        <f t="shared" si="56"/>
        <v>0.54994614598588731</v>
      </c>
      <c r="M311" s="587">
        <f t="shared" si="56"/>
        <v>0.17697674726373516</v>
      </c>
      <c r="N311" s="587">
        <f t="shared" si="56"/>
        <v>3.9591187043724781E-2</v>
      </c>
      <c r="O311" s="587">
        <f t="shared" si="56"/>
        <v>0</v>
      </c>
      <c r="P311" s="587">
        <f t="shared" si="56"/>
        <v>0</v>
      </c>
      <c r="Q311" s="588">
        <f t="shared" si="56"/>
        <v>0</v>
      </c>
    </row>
    <row r="312" spans="1:20" ht="15">
      <c r="A312" s="1213"/>
      <c r="B312" s="613"/>
      <c r="C312" s="614"/>
      <c r="D312" s="617" t="s">
        <v>970</v>
      </c>
      <c r="E312" s="577">
        <f>SUMPRODUCT(S269:S308,E269:E308)</f>
        <v>402500</v>
      </c>
      <c r="F312" s="578"/>
      <c r="G312" s="578"/>
      <c r="H312" s="578"/>
      <c r="I312" s="579"/>
      <c r="J312" s="589"/>
      <c r="K312" s="581"/>
      <c r="L312" s="581"/>
      <c r="M312" s="581"/>
      <c r="N312" s="581"/>
      <c r="O312" s="581"/>
      <c r="P312" s="581"/>
      <c r="Q312" s="582"/>
    </row>
    <row r="313" spans="1:20" ht="15.75" thickBot="1">
      <c r="A313" s="1213"/>
      <c r="B313" s="615"/>
      <c r="C313" s="616"/>
      <c r="D313" s="618" t="s">
        <v>971</v>
      </c>
      <c r="E313" s="583"/>
      <c r="F313" s="584">
        <f>IF($S310=0,0,(SUMPRODUCT($S269:$S308,F269:F308,$E269:$E308)/$E312))</f>
        <v>5</v>
      </c>
      <c r="G313" s="584">
        <f t="shared" ref="G313" si="57">IF($S310=0,0,(SUMPRODUCT($S269:$S308,G269:G308,$E269:$E308)/$E312))</f>
        <v>5</v>
      </c>
      <c r="H313" s="584">
        <f t="shared" ref="H313" si="58">IF($S310=0,0,(SUMPRODUCT($S269:$S308,H269:H308,$E269:$E308)/$E312))</f>
        <v>5</v>
      </c>
      <c r="I313" s="585">
        <f t="shared" ref="I313:Q313" si="59">IF($S310=0,0,(SUMPRODUCT($S269:$S308,I269:I308,$E269:$E308)/$E312))</f>
        <v>2.1747396831740726</v>
      </c>
      <c r="J313" s="586">
        <f t="shared" si="59"/>
        <v>1.3333567987466031</v>
      </c>
      <c r="K313" s="587">
        <f t="shared" si="59"/>
        <v>0.30172413793103448</v>
      </c>
      <c r="L313" s="587">
        <f t="shared" si="59"/>
        <v>0.52586206896551724</v>
      </c>
      <c r="M313" s="587">
        <f t="shared" si="59"/>
        <v>0.12931034482758622</v>
      </c>
      <c r="N313" s="587">
        <f t="shared" si="59"/>
        <v>4.3103448275862079E-2</v>
      </c>
      <c r="O313" s="587">
        <f t="shared" si="59"/>
        <v>0</v>
      </c>
      <c r="P313" s="587">
        <f t="shared" si="59"/>
        <v>0</v>
      </c>
      <c r="Q313" s="588">
        <f t="shared" si="59"/>
        <v>0</v>
      </c>
    </row>
    <row r="314" spans="1:20" ht="15">
      <c r="A314" s="1213"/>
      <c r="B314" s="613"/>
      <c r="C314" s="614"/>
      <c r="D314" s="617" t="s">
        <v>972</v>
      </c>
      <c r="E314" s="577">
        <f>SUM(E269:E308)</f>
        <v>7994178.0821917811</v>
      </c>
      <c r="F314" s="578"/>
      <c r="G314" s="578"/>
      <c r="H314" s="578"/>
      <c r="I314" s="579"/>
      <c r="J314" s="580"/>
      <c r="K314" s="581"/>
      <c r="L314" s="581"/>
      <c r="M314" s="581"/>
      <c r="N314" s="581"/>
      <c r="O314" s="581"/>
      <c r="P314" s="581"/>
      <c r="Q314" s="582"/>
    </row>
    <row r="315" spans="1:20" ht="15.75" thickBot="1">
      <c r="A315" s="1213"/>
      <c r="B315" s="615"/>
      <c r="C315" s="616"/>
      <c r="D315" s="618" t="s">
        <v>973</v>
      </c>
      <c r="E315" s="583"/>
      <c r="F315" s="584">
        <f>SUMPRODUCT($E269:$E308,F269:F308)/$E314</f>
        <v>8.4050893201387993</v>
      </c>
      <c r="G315" s="584">
        <f t="shared" ref="G315" si="60">SUMPRODUCT($E269:$E308,G269:G308)/$E314</f>
        <v>8.5718773650916056</v>
      </c>
      <c r="H315" s="584">
        <f t="shared" ref="H315" si="61">SUMPRODUCT($E269:$E308,H269:H308)/$E314</f>
        <v>8.7178169044253089</v>
      </c>
      <c r="I315" s="585">
        <f t="shared" ref="I315:Q315" si="62">SUMPRODUCT($E269:$E308,I269:I308)/$E314</f>
        <v>2.12005688556801</v>
      </c>
      <c r="J315" s="586">
        <f t="shared" si="62"/>
        <v>1.3363750560287901</v>
      </c>
      <c r="K315" s="801">
        <f t="shared" si="62"/>
        <v>0.23692165538240634</v>
      </c>
      <c r="L315" s="801">
        <f t="shared" si="62"/>
        <v>0.54873353339444486</v>
      </c>
      <c r="M315" s="801">
        <f t="shared" si="62"/>
        <v>0.17457678484317204</v>
      </c>
      <c r="N315" s="801">
        <f t="shared" si="62"/>
        <v>3.9768026379976805E-2</v>
      </c>
      <c r="O315" s="801">
        <f t="shared" si="62"/>
        <v>0</v>
      </c>
      <c r="P315" s="587">
        <f t="shared" si="62"/>
        <v>0</v>
      </c>
      <c r="Q315" s="588">
        <f t="shared" si="62"/>
        <v>0</v>
      </c>
    </row>
    <row r="316" spans="1:20" ht="15">
      <c r="A316" s="557"/>
      <c r="B316" s="557"/>
      <c r="C316" s="557"/>
      <c r="D316" s="557"/>
      <c r="E316" s="557"/>
      <c r="F316" s="557"/>
      <c r="G316" s="557"/>
      <c r="H316" s="557"/>
      <c r="I316" s="557"/>
      <c r="J316" s="590"/>
      <c r="K316" s="557"/>
      <c r="L316" s="557"/>
      <c r="M316" s="557"/>
      <c r="N316" s="557"/>
      <c r="O316" s="557"/>
      <c r="P316" s="557"/>
      <c r="Q316" s="557"/>
    </row>
    <row r="317" spans="1:20" ht="15">
      <c r="A317" s="591"/>
      <c r="B317" s="554"/>
      <c r="C317" s="591"/>
      <c r="D317" s="591"/>
      <c r="E317" s="591"/>
      <c r="F317" s="591"/>
      <c r="G317" s="591"/>
      <c r="H317" s="591"/>
      <c r="I317" s="591"/>
      <c r="J317" s="591"/>
      <c r="K317" s="554"/>
      <c r="L317" s="591"/>
      <c r="M317" s="591"/>
      <c r="N317" s="591"/>
      <c r="O317" s="591"/>
      <c r="P317" s="591"/>
      <c r="Q317" s="591"/>
      <c r="R317" s="592"/>
    </row>
    <row r="318" spans="1:20" ht="15">
      <c r="A318" s="557"/>
      <c r="B318" s="799" t="s">
        <v>1173</v>
      </c>
      <c r="C318" s="800" t="s">
        <v>1136</v>
      </c>
      <c r="D318" s="557"/>
      <c r="E318" s="557"/>
      <c r="F318" s="557"/>
      <c r="G318" s="557"/>
      <c r="H318" s="557"/>
      <c r="I318" s="557"/>
      <c r="J318" s="557"/>
      <c r="K318" s="557"/>
      <c r="L318" s="557"/>
      <c r="M318" s="557"/>
      <c r="N318" s="557"/>
      <c r="O318" s="557"/>
      <c r="P318" s="557"/>
      <c r="Q318" s="557"/>
    </row>
    <row r="319" spans="1:20" ht="15" customHeight="1" thickBot="1">
      <c r="A319" s="557"/>
      <c r="B319" s="799" t="s">
        <v>1174</v>
      </c>
      <c r="C319" s="800" t="s">
        <v>1187</v>
      </c>
      <c r="D319" s="557"/>
      <c r="E319" s="557"/>
      <c r="F319" s="608"/>
      <c r="G319" s="609" t="s">
        <v>173</v>
      </c>
      <c r="H319" s="609"/>
      <c r="I319" s="557"/>
      <c r="J319" s="557"/>
      <c r="K319" s="610"/>
      <c r="L319" s="611"/>
      <c r="M319" s="611" t="s">
        <v>954</v>
      </c>
      <c r="N319" s="611"/>
      <c r="O319" s="611"/>
      <c r="P319" s="611"/>
      <c r="Q319" s="612"/>
    </row>
    <row r="320" spans="1:20" ht="30.75" customHeight="1" thickBot="1">
      <c r="A320" s="1213" t="s">
        <v>1230</v>
      </c>
      <c r="B320" s="558" t="s">
        <v>955</v>
      </c>
      <c r="C320" s="559" t="s">
        <v>104</v>
      </c>
      <c r="D320" s="558" t="s">
        <v>769</v>
      </c>
      <c r="E320" s="558" t="s">
        <v>255</v>
      </c>
      <c r="F320" s="560" t="s">
        <v>956</v>
      </c>
      <c r="G320" s="560" t="s">
        <v>957</v>
      </c>
      <c r="H320" s="560" t="s">
        <v>958</v>
      </c>
      <c r="I320" s="561" t="s">
        <v>959</v>
      </c>
      <c r="J320" s="562" t="s">
        <v>960</v>
      </c>
      <c r="K320" s="562" t="s">
        <v>961</v>
      </c>
      <c r="L320" s="562" t="s">
        <v>962</v>
      </c>
      <c r="M320" s="562" t="s">
        <v>963</v>
      </c>
      <c r="N320" s="562" t="s">
        <v>964</v>
      </c>
      <c r="O320" s="562" t="s">
        <v>965</v>
      </c>
      <c r="P320" s="562" t="s">
        <v>966</v>
      </c>
      <c r="Q320" s="563" t="s">
        <v>967</v>
      </c>
      <c r="S320" s="602" t="s">
        <v>771</v>
      </c>
      <c r="T320" s="601" t="s">
        <v>770</v>
      </c>
    </row>
    <row r="321" spans="1:20" ht="15">
      <c r="A321" s="1213"/>
      <c r="B321" s="564">
        <v>1</v>
      </c>
      <c r="C321" s="565" t="s">
        <v>1074</v>
      </c>
      <c r="D321" s="564" t="s">
        <v>770</v>
      </c>
      <c r="E321" s="696">
        <v>1347500</v>
      </c>
      <c r="F321" s="566">
        <v>5</v>
      </c>
      <c r="G321" s="566">
        <v>5</v>
      </c>
      <c r="H321" s="566">
        <v>5</v>
      </c>
      <c r="I321" s="567">
        <v>2.1747396831740726</v>
      </c>
      <c r="J321" s="568">
        <v>1.3333567987466031</v>
      </c>
      <c r="K321" s="569">
        <v>0.30172413793103448</v>
      </c>
      <c r="L321" s="569">
        <v>0.52586206896551724</v>
      </c>
      <c r="M321" s="569">
        <v>0.12931034482758622</v>
      </c>
      <c r="N321" s="569">
        <v>4.3103448275862072E-2</v>
      </c>
      <c r="O321" s="569">
        <v>0</v>
      </c>
      <c r="P321" s="569"/>
      <c r="Q321" s="570"/>
      <c r="S321" s="603">
        <f>IF(D321="Commercial",1,0)</f>
        <v>0</v>
      </c>
      <c r="T321" s="599">
        <f>IF(D321="Residential",1,0)</f>
        <v>1</v>
      </c>
    </row>
    <row r="322" spans="1:20" ht="15">
      <c r="A322" s="1213"/>
      <c r="B322" s="564">
        <v>2</v>
      </c>
      <c r="C322" s="565" t="s">
        <v>1075</v>
      </c>
      <c r="D322" s="564" t="s">
        <v>770</v>
      </c>
      <c r="E322" s="696">
        <v>500000</v>
      </c>
      <c r="F322" s="566">
        <v>2</v>
      </c>
      <c r="G322" s="566">
        <v>4.666666666666667</v>
      </c>
      <c r="H322" s="566">
        <v>7</v>
      </c>
      <c r="I322" s="567">
        <v>2.1747396831740726</v>
      </c>
      <c r="J322" s="568">
        <v>1.3333567987466031</v>
      </c>
      <c r="K322" s="571">
        <v>0.30172413793103448</v>
      </c>
      <c r="L322" s="571">
        <v>0.52586206896551724</v>
      </c>
      <c r="M322" s="571">
        <v>0.12931034482758622</v>
      </c>
      <c r="N322" s="571">
        <v>4.3103448275862072E-2</v>
      </c>
      <c r="O322" s="571">
        <v>0</v>
      </c>
      <c r="P322" s="571"/>
      <c r="Q322" s="572"/>
      <c r="S322" s="603">
        <f t="shared" ref="S322:S360" si="63">IF(D322="Commercial",1,0)</f>
        <v>0</v>
      </c>
      <c r="T322" s="599">
        <f t="shared" ref="T322:T360" si="64">IF(D322="Residential",1,0)</f>
        <v>1</v>
      </c>
    </row>
    <row r="323" spans="1:20" ht="15">
      <c r="A323" s="1213"/>
      <c r="B323" s="564">
        <v>3</v>
      </c>
      <c r="C323" s="565" t="s">
        <v>1122</v>
      </c>
      <c r="D323" s="564" t="s">
        <v>771</v>
      </c>
      <c r="E323" s="696">
        <v>402500</v>
      </c>
      <c r="F323" s="566">
        <v>5</v>
      </c>
      <c r="G323" s="566">
        <v>5</v>
      </c>
      <c r="H323" s="566">
        <v>5</v>
      </c>
      <c r="I323" s="567">
        <v>2.1747396831740726</v>
      </c>
      <c r="J323" s="568">
        <v>1.3333567987466031</v>
      </c>
      <c r="K323" s="571">
        <v>0.30172413793103448</v>
      </c>
      <c r="L323" s="571">
        <v>0.52586206896551724</v>
      </c>
      <c r="M323" s="571">
        <v>0.12931034482758622</v>
      </c>
      <c r="N323" s="571">
        <v>4.3103448275862072E-2</v>
      </c>
      <c r="O323" s="571">
        <v>0</v>
      </c>
      <c r="P323" s="571"/>
      <c r="Q323" s="572"/>
      <c r="S323" s="603">
        <f t="shared" si="63"/>
        <v>1</v>
      </c>
      <c r="T323" s="599">
        <f t="shared" si="64"/>
        <v>0</v>
      </c>
    </row>
    <row r="324" spans="1:20" ht="15">
      <c r="A324" s="1213"/>
      <c r="B324" s="564">
        <v>4</v>
      </c>
      <c r="C324" s="565"/>
      <c r="D324" s="564"/>
      <c r="E324" s="696"/>
      <c r="F324" s="566"/>
      <c r="G324" s="566"/>
      <c r="H324" s="566"/>
      <c r="I324" s="567"/>
      <c r="J324" s="568"/>
      <c r="K324" s="571"/>
      <c r="L324" s="571"/>
      <c r="M324" s="571"/>
      <c r="N324" s="571"/>
      <c r="O324" s="571"/>
      <c r="P324" s="571"/>
      <c r="Q324" s="572"/>
      <c r="S324" s="603">
        <f t="shared" si="63"/>
        <v>0</v>
      </c>
      <c r="T324" s="599">
        <f t="shared" si="64"/>
        <v>0</v>
      </c>
    </row>
    <row r="325" spans="1:20" ht="15">
      <c r="A325" s="1213"/>
      <c r="B325" s="564">
        <v>5</v>
      </c>
      <c r="C325" s="565"/>
      <c r="D325" s="564"/>
      <c r="E325" s="696"/>
      <c r="F325" s="566"/>
      <c r="G325" s="566"/>
      <c r="H325" s="566"/>
      <c r="I325" s="567"/>
      <c r="J325" s="568"/>
      <c r="K325" s="571"/>
      <c r="L325" s="571"/>
      <c r="M325" s="571"/>
      <c r="N325" s="571"/>
      <c r="O325" s="571"/>
      <c r="P325" s="571"/>
      <c r="Q325" s="572"/>
      <c r="S325" s="603">
        <f t="shared" si="63"/>
        <v>0</v>
      </c>
      <c r="T325" s="599">
        <f t="shared" si="64"/>
        <v>0</v>
      </c>
    </row>
    <row r="326" spans="1:20" ht="15">
      <c r="A326" s="1213"/>
      <c r="B326" s="564">
        <v>6</v>
      </c>
      <c r="C326" s="565"/>
      <c r="D326" s="564"/>
      <c r="E326" s="696"/>
      <c r="F326" s="566"/>
      <c r="G326" s="566"/>
      <c r="H326" s="566"/>
      <c r="I326" s="567"/>
      <c r="J326" s="568"/>
      <c r="K326" s="571"/>
      <c r="L326" s="571"/>
      <c r="M326" s="571"/>
      <c r="N326" s="571"/>
      <c r="O326" s="571"/>
      <c r="P326" s="571"/>
      <c r="Q326" s="572"/>
      <c r="S326" s="603">
        <f t="shared" si="63"/>
        <v>0</v>
      </c>
      <c r="T326" s="599">
        <f t="shared" si="64"/>
        <v>0</v>
      </c>
    </row>
    <row r="327" spans="1:20" ht="15">
      <c r="A327" s="1213"/>
      <c r="B327" s="564">
        <v>7</v>
      </c>
      <c r="C327" s="565"/>
      <c r="D327" s="564"/>
      <c r="E327" s="696"/>
      <c r="F327" s="566"/>
      <c r="G327" s="566"/>
      <c r="H327" s="566"/>
      <c r="I327" s="567"/>
      <c r="J327" s="568"/>
      <c r="K327" s="571"/>
      <c r="L327" s="571"/>
      <c r="M327" s="571"/>
      <c r="N327" s="571"/>
      <c r="O327" s="571"/>
      <c r="P327" s="571"/>
      <c r="Q327" s="572"/>
      <c r="S327" s="603">
        <f t="shared" si="63"/>
        <v>0</v>
      </c>
      <c r="T327" s="599">
        <f t="shared" si="64"/>
        <v>0</v>
      </c>
    </row>
    <row r="328" spans="1:20" ht="15">
      <c r="A328" s="1213"/>
      <c r="B328" s="564">
        <v>8</v>
      </c>
      <c r="C328" s="565"/>
      <c r="D328" s="564"/>
      <c r="E328" s="696"/>
      <c r="F328" s="566"/>
      <c r="G328" s="566"/>
      <c r="H328" s="566"/>
      <c r="I328" s="567"/>
      <c r="J328" s="568"/>
      <c r="K328" s="571"/>
      <c r="L328" s="571"/>
      <c r="M328" s="571"/>
      <c r="N328" s="571"/>
      <c r="O328" s="571"/>
      <c r="P328" s="571"/>
      <c r="Q328" s="572"/>
      <c r="S328" s="603">
        <f t="shared" si="63"/>
        <v>0</v>
      </c>
      <c r="T328" s="599">
        <f t="shared" si="64"/>
        <v>0</v>
      </c>
    </row>
    <row r="329" spans="1:20" ht="15">
      <c r="A329" s="1213"/>
      <c r="B329" s="564">
        <v>9</v>
      </c>
      <c r="C329" s="565"/>
      <c r="D329" s="564"/>
      <c r="E329" s="696"/>
      <c r="F329" s="566"/>
      <c r="G329" s="566"/>
      <c r="H329" s="566"/>
      <c r="I329" s="567"/>
      <c r="J329" s="568"/>
      <c r="K329" s="571"/>
      <c r="L329" s="571"/>
      <c r="M329" s="571"/>
      <c r="N329" s="571"/>
      <c r="O329" s="571"/>
      <c r="P329" s="571"/>
      <c r="Q329" s="572"/>
      <c r="S329" s="603">
        <f t="shared" si="63"/>
        <v>0</v>
      </c>
      <c r="T329" s="599">
        <f t="shared" si="64"/>
        <v>0</v>
      </c>
    </row>
    <row r="330" spans="1:20" ht="15">
      <c r="A330" s="1213"/>
      <c r="B330" s="564">
        <v>10</v>
      </c>
      <c r="C330" s="565"/>
      <c r="D330" s="564"/>
      <c r="E330" s="696"/>
      <c r="F330" s="566"/>
      <c r="G330" s="566"/>
      <c r="H330" s="566"/>
      <c r="I330" s="567"/>
      <c r="J330" s="568"/>
      <c r="K330" s="571"/>
      <c r="L330" s="571"/>
      <c r="M330" s="571"/>
      <c r="N330" s="571"/>
      <c r="O330" s="571"/>
      <c r="P330" s="571"/>
      <c r="Q330" s="572"/>
      <c r="S330" s="603">
        <f t="shared" si="63"/>
        <v>0</v>
      </c>
      <c r="T330" s="599">
        <f t="shared" si="64"/>
        <v>0</v>
      </c>
    </row>
    <row r="331" spans="1:20" ht="15">
      <c r="A331" s="1213"/>
      <c r="B331" s="564">
        <v>11</v>
      </c>
      <c r="C331" s="565"/>
      <c r="D331" s="564"/>
      <c r="E331" s="696"/>
      <c r="F331" s="566"/>
      <c r="G331" s="566"/>
      <c r="H331" s="566"/>
      <c r="I331" s="567"/>
      <c r="J331" s="568"/>
      <c r="K331" s="571"/>
      <c r="L331" s="571"/>
      <c r="M331" s="571"/>
      <c r="N331" s="571"/>
      <c r="O331" s="571"/>
      <c r="P331" s="571"/>
      <c r="Q331" s="572"/>
      <c r="S331" s="603">
        <f t="shared" si="63"/>
        <v>0</v>
      </c>
      <c r="T331" s="599">
        <f t="shared" si="64"/>
        <v>0</v>
      </c>
    </row>
    <row r="332" spans="1:20" ht="15">
      <c r="A332" s="1213"/>
      <c r="B332" s="564">
        <v>12</v>
      </c>
      <c r="C332" s="565"/>
      <c r="D332" s="564"/>
      <c r="E332" s="696"/>
      <c r="F332" s="566"/>
      <c r="G332" s="566"/>
      <c r="H332" s="566"/>
      <c r="I332" s="567"/>
      <c r="J332" s="568"/>
      <c r="K332" s="571"/>
      <c r="L332" s="571"/>
      <c r="M332" s="571"/>
      <c r="N332" s="571"/>
      <c r="O332" s="571"/>
      <c r="P332" s="571"/>
      <c r="Q332" s="572"/>
      <c r="S332" s="603">
        <f t="shared" si="63"/>
        <v>0</v>
      </c>
      <c r="T332" s="599">
        <f t="shared" si="64"/>
        <v>0</v>
      </c>
    </row>
    <row r="333" spans="1:20" ht="15">
      <c r="A333" s="1213"/>
      <c r="B333" s="564">
        <v>13</v>
      </c>
      <c r="C333" s="565"/>
      <c r="D333" s="564"/>
      <c r="E333" s="696"/>
      <c r="F333" s="566"/>
      <c r="G333" s="566"/>
      <c r="H333" s="566"/>
      <c r="I333" s="567"/>
      <c r="J333" s="568"/>
      <c r="K333" s="571"/>
      <c r="L333" s="571"/>
      <c r="M333" s="571"/>
      <c r="N333" s="571"/>
      <c r="O333" s="571"/>
      <c r="P333" s="571"/>
      <c r="Q333" s="572"/>
      <c r="S333" s="603">
        <f t="shared" si="63"/>
        <v>0</v>
      </c>
      <c r="T333" s="599">
        <f t="shared" si="64"/>
        <v>0</v>
      </c>
    </row>
    <row r="334" spans="1:20" ht="15">
      <c r="A334" s="1213"/>
      <c r="B334" s="564">
        <v>14</v>
      </c>
      <c r="C334" s="565"/>
      <c r="D334" s="564"/>
      <c r="E334" s="696"/>
      <c r="F334" s="566"/>
      <c r="G334" s="566"/>
      <c r="H334" s="566"/>
      <c r="I334" s="567"/>
      <c r="J334" s="568"/>
      <c r="K334" s="571"/>
      <c r="L334" s="571"/>
      <c r="M334" s="571"/>
      <c r="N334" s="571"/>
      <c r="O334" s="571"/>
      <c r="P334" s="571"/>
      <c r="Q334" s="572"/>
      <c r="S334" s="603">
        <f t="shared" si="63"/>
        <v>0</v>
      </c>
      <c r="T334" s="599">
        <f t="shared" si="64"/>
        <v>0</v>
      </c>
    </row>
    <row r="335" spans="1:20" ht="15">
      <c r="A335" s="1213"/>
      <c r="B335" s="564">
        <v>15</v>
      </c>
      <c r="C335" s="565"/>
      <c r="D335" s="564"/>
      <c r="E335" s="696"/>
      <c r="F335" s="566"/>
      <c r="G335" s="566"/>
      <c r="H335" s="566"/>
      <c r="I335" s="567"/>
      <c r="J335" s="568"/>
      <c r="K335" s="571"/>
      <c r="L335" s="571"/>
      <c r="M335" s="571"/>
      <c r="N335" s="571"/>
      <c r="O335" s="571"/>
      <c r="P335" s="571"/>
      <c r="Q335" s="572"/>
      <c r="S335" s="603">
        <f t="shared" si="63"/>
        <v>0</v>
      </c>
      <c r="T335" s="599">
        <f t="shared" si="64"/>
        <v>0</v>
      </c>
    </row>
    <row r="336" spans="1:20" ht="15">
      <c r="A336" s="1213"/>
      <c r="B336" s="564">
        <v>16</v>
      </c>
      <c r="C336" s="565"/>
      <c r="D336" s="564"/>
      <c r="E336" s="696"/>
      <c r="F336" s="566"/>
      <c r="G336" s="566"/>
      <c r="H336" s="566"/>
      <c r="I336" s="567"/>
      <c r="J336" s="568"/>
      <c r="K336" s="571"/>
      <c r="L336" s="571"/>
      <c r="M336" s="571"/>
      <c r="N336" s="571"/>
      <c r="O336" s="571"/>
      <c r="P336" s="571"/>
      <c r="Q336" s="572"/>
      <c r="S336" s="603">
        <f t="shared" si="63"/>
        <v>0</v>
      </c>
      <c r="T336" s="599">
        <f t="shared" si="64"/>
        <v>0</v>
      </c>
    </row>
    <row r="337" spans="1:20" ht="15">
      <c r="A337" s="1213"/>
      <c r="B337" s="564">
        <v>17</v>
      </c>
      <c r="C337" s="565"/>
      <c r="D337" s="564"/>
      <c r="E337" s="696"/>
      <c r="F337" s="566"/>
      <c r="G337" s="566"/>
      <c r="H337" s="566"/>
      <c r="I337" s="567"/>
      <c r="J337" s="567"/>
      <c r="K337" s="567"/>
      <c r="L337" s="567"/>
      <c r="M337" s="567"/>
      <c r="N337" s="567"/>
      <c r="O337" s="567"/>
      <c r="P337" s="567"/>
      <c r="Q337" s="692"/>
      <c r="S337" s="603">
        <f t="shared" si="63"/>
        <v>0</v>
      </c>
      <c r="T337" s="599">
        <f t="shared" si="64"/>
        <v>0</v>
      </c>
    </row>
    <row r="338" spans="1:20" ht="15">
      <c r="A338" s="1213"/>
      <c r="B338" s="564">
        <v>18</v>
      </c>
      <c r="C338" s="565"/>
      <c r="D338" s="564"/>
      <c r="E338" s="696"/>
      <c r="F338" s="566"/>
      <c r="G338" s="566"/>
      <c r="H338" s="566"/>
      <c r="I338" s="567"/>
      <c r="J338" s="567"/>
      <c r="K338" s="567"/>
      <c r="L338" s="567"/>
      <c r="M338" s="567"/>
      <c r="N338" s="567"/>
      <c r="O338" s="567"/>
      <c r="P338" s="567"/>
      <c r="Q338" s="692"/>
      <c r="S338" s="603">
        <f t="shared" si="63"/>
        <v>0</v>
      </c>
      <c r="T338" s="599">
        <f t="shared" si="64"/>
        <v>0</v>
      </c>
    </row>
    <row r="339" spans="1:20" ht="15">
      <c r="A339" s="1213"/>
      <c r="B339" s="564">
        <v>19</v>
      </c>
      <c r="C339" s="565"/>
      <c r="D339" s="564"/>
      <c r="E339" s="696"/>
      <c r="F339" s="566"/>
      <c r="G339" s="566"/>
      <c r="H339" s="566"/>
      <c r="I339" s="567"/>
      <c r="J339" s="567"/>
      <c r="K339" s="567"/>
      <c r="L339" s="567"/>
      <c r="M339" s="567"/>
      <c r="N339" s="567"/>
      <c r="O339" s="567"/>
      <c r="P339" s="567"/>
      <c r="Q339" s="692"/>
      <c r="S339" s="603">
        <f t="shared" si="63"/>
        <v>0</v>
      </c>
      <c r="T339" s="599">
        <f t="shared" si="64"/>
        <v>0</v>
      </c>
    </row>
    <row r="340" spans="1:20" ht="15">
      <c r="A340" s="1213"/>
      <c r="B340" s="564">
        <v>20</v>
      </c>
      <c r="C340" s="565"/>
      <c r="D340" s="564"/>
      <c r="E340" s="696"/>
      <c r="F340" s="566"/>
      <c r="G340" s="566"/>
      <c r="H340" s="566"/>
      <c r="I340" s="567"/>
      <c r="J340" s="567"/>
      <c r="K340" s="567"/>
      <c r="L340" s="567"/>
      <c r="M340" s="567"/>
      <c r="N340" s="567"/>
      <c r="O340" s="567"/>
      <c r="P340" s="567"/>
      <c r="Q340" s="692"/>
      <c r="S340" s="603">
        <f t="shared" si="63"/>
        <v>0</v>
      </c>
      <c r="T340" s="599">
        <f t="shared" si="64"/>
        <v>0</v>
      </c>
    </row>
    <row r="341" spans="1:20" ht="15">
      <c r="A341" s="1213"/>
      <c r="B341" s="564">
        <v>21</v>
      </c>
      <c r="C341" s="565"/>
      <c r="D341" s="564"/>
      <c r="E341" s="696"/>
      <c r="F341" s="566"/>
      <c r="G341" s="566"/>
      <c r="H341" s="566"/>
      <c r="I341" s="567"/>
      <c r="J341" s="567"/>
      <c r="K341" s="567"/>
      <c r="L341" s="567"/>
      <c r="M341" s="567"/>
      <c r="N341" s="567"/>
      <c r="O341" s="567"/>
      <c r="P341" s="567"/>
      <c r="Q341" s="692"/>
      <c r="S341" s="603">
        <f t="shared" si="63"/>
        <v>0</v>
      </c>
      <c r="T341" s="599">
        <f t="shared" si="64"/>
        <v>0</v>
      </c>
    </row>
    <row r="342" spans="1:20" ht="15">
      <c r="A342" s="1213"/>
      <c r="B342" s="564">
        <v>22</v>
      </c>
      <c r="C342" s="565"/>
      <c r="D342" s="564"/>
      <c r="E342" s="696"/>
      <c r="F342" s="566"/>
      <c r="G342" s="566"/>
      <c r="H342" s="566"/>
      <c r="I342" s="567"/>
      <c r="J342" s="567"/>
      <c r="K342" s="567"/>
      <c r="L342" s="567"/>
      <c r="M342" s="567"/>
      <c r="N342" s="567"/>
      <c r="O342" s="567"/>
      <c r="P342" s="567"/>
      <c r="Q342" s="692"/>
      <c r="S342" s="603">
        <f t="shared" si="63"/>
        <v>0</v>
      </c>
      <c r="T342" s="599">
        <f t="shared" si="64"/>
        <v>0</v>
      </c>
    </row>
    <row r="343" spans="1:20" ht="15">
      <c r="A343" s="1213"/>
      <c r="B343" s="564">
        <v>23</v>
      </c>
      <c r="C343" s="565"/>
      <c r="D343" s="564"/>
      <c r="E343" s="696"/>
      <c r="F343" s="566"/>
      <c r="G343" s="566"/>
      <c r="H343" s="566"/>
      <c r="I343" s="567"/>
      <c r="J343" s="567"/>
      <c r="K343" s="567"/>
      <c r="L343" s="567"/>
      <c r="M343" s="567"/>
      <c r="N343" s="567"/>
      <c r="O343" s="567"/>
      <c r="P343" s="567"/>
      <c r="Q343" s="692"/>
      <c r="S343" s="603">
        <f t="shared" si="63"/>
        <v>0</v>
      </c>
      <c r="T343" s="599">
        <f t="shared" si="64"/>
        <v>0</v>
      </c>
    </row>
    <row r="344" spans="1:20" ht="15">
      <c r="A344" s="1213"/>
      <c r="B344" s="564">
        <v>24</v>
      </c>
      <c r="C344" s="565"/>
      <c r="D344" s="564"/>
      <c r="E344" s="696"/>
      <c r="F344" s="566"/>
      <c r="G344" s="566"/>
      <c r="H344" s="566"/>
      <c r="I344" s="567"/>
      <c r="J344" s="567"/>
      <c r="K344" s="567"/>
      <c r="L344" s="567"/>
      <c r="M344" s="567"/>
      <c r="N344" s="567"/>
      <c r="O344" s="567"/>
      <c r="P344" s="567"/>
      <c r="Q344" s="692"/>
      <c r="S344" s="603">
        <f t="shared" si="63"/>
        <v>0</v>
      </c>
      <c r="T344" s="599">
        <f t="shared" si="64"/>
        <v>0</v>
      </c>
    </row>
    <row r="345" spans="1:20" ht="15">
      <c r="A345" s="1213"/>
      <c r="B345" s="564">
        <v>25</v>
      </c>
      <c r="C345" s="565"/>
      <c r="D345" s="564"/>
      <c r="E345" s="696"/>
      <c r="F345" s="566"/>
      <c r="G345" s="566"/>
      <c r="H345" s="566"/>
      <c r="I345" s="567"/>
      <c r="J345" s="567"/>
      <c r="K345" s="567"/>
      <c r="L345" s="567"/>
      <c r="M345" s="567"/>
      <c r="N345" s="567"/>
      <c r="O345" s="567"/>
      <c r="P345" s="567"/>
      <c r="Q345" s="692"/>
      <c r="S345" s="603">
        <f t="shared" si="63"/>
        <v>0</v>
      </c>
      <c r="T345" s="599">
        <f t="shared" si="64"/>
        <v>0</v>
      </c>
    </row>
    <row r="346" spans="1:20" ht="15">
      <c r="A346" s="1213"/>
      <c r="B346" s="564">
        <v>26</v>
      </c>
      <c r="C346" s="565"/>
      <c r="D346" s="564"/>
      <c r="E346" s="696"/>
      <c r="F346" s="695"/>
      <c r="G346" s="695"/>
      <c r="H346" s="695"/>
      <c r="I346" s="693"/>
      <c r="J346" s="693"/>
      <c r="K346" s="693"/>
      <c r="L346" s="693"/>
      <c r="M346" s="693"/>
      <c r="N346" s="693"/>
      <c r="O346" s="693"/>
      <c r="P346" s="693"/>
      <c r="Q346" s="694"/>
      <c r="S346" s="603">
        <f t="shared" si="63"/>
        <v>0</v>
      </c>
      <c r="T346" s="599">
        <f t="shared" si="64"/>
        <v>0</v>
      </c>
    </row>
    <row r="347" spans="1:20" ht="15">
      <c r="A347" s="1213"/>
      <c r="B347" s="564">
        <v>27</v>
      </c>
      <c r="C347" s="565"/>
      <c r="D347" s="564"/>
      <c r="E347" s="697"/>
      <c r="F347" s="695"/>
      <c r="G347" s="695"/>
      <c r="H347" s="695"/>
      <c r="I347" s="693"/>
      <c r="J347" s="693"/>
      <c r="K347" s="693"/>
      <c r="L347" s="693"/>
      <c r="M347" s="693"/>
      <c r="N347" s="693"/>
      <c r="O347" s="693"/>
      <c r="P347" s="693"/>
      <c r="Q347" s="694"/>
      <c r="S347" s="603">
        <f t="shared" si="63"/>
        <v>0</v>
      </c>
      <c r="T347" s="599">
        <f t="shared" si="64"/>
        <v>0</v>
      </c>
    </row>
    <row r="348" spans="1:20" ht="15">
      <c r="A348" s="1213"/>
      <c r="B348" s="564">
        <v>28</v>
      </c>
      <c r="C348" s="565"/>
      <c r="D348" s="564"/>
      <c r="E348" s="697"/>
      <c r="F348" s="695"/>
      <c r="G348" s="695"/>
      <c r="H348" s="695"/>
      <c r="I348" s="693"/>
      <c r="J348" s="693"/>
      <c r="K348" s="693"/>
      <c r="L348" s="693"/>
      <c r="M348" s="693"/>
      <c r="N348" s="693"/>
      <c r="O348" s="693"/>
      <c r="P348" s="693"/>
      <c r="Q348" s="694"/>
      <c r="S348" s="603">
        <f t="shared" si="63"/>
        <v>0</v>
      </c>
      <c r="T348" s="599">
        <f t="shared" si="64"/>
        <v>0</v>
      </c>
    </row>
    <row r="349" spans="1:20" ht="15">
      <c r="A349" s="1213"/>
      <c r="B349" s="564">
        <v>29</v>
      </c>
      <c r="C349" s="565"/>
      <c r="D349" s="564"/>
      <c r="E349" s="697"/>
      <c r="F349" s="695"/>
      <c r="G349" s="695"/>
      <c r="H349" s="695"/>
      <c r="I349" s="693"/>
      <c r="J349" s="693"/>
      <c r="K349" s="693"/>
      <c r="L349" s="693"/>
      <c r="M349" s="693"/>
      <c r="N349" s="693"/>
      <c r="O349" s="693"/>
      <c r="P349" s="693"/>
      <c r="Q349" s="694"/>
      <c r="S349" s="603">
        <f t="shared" si="63"/>
        <v>0</v>
      </c>
      <c r="T349" s="599">
        <f t="shared" si="64"/>
        <v>0</v>
      </c>
    </row>
    <row r="350" spans="1:20" ht="15">
      <c r="A350" s="1213"/>
      <c r="B350" s="564">
        <v>30</v>
      </c>
      <c r="C350" s="565"/>
      <c r="D350" s="564"/>
      <c r="E350" s="697"/>
      <c r="F350" s="695"/>
      <c r="G350" s="695"/>
      <c r="H350" s="695"/>
      <c r="I350" s="693"/>
      <c r="J350" s="693"/>
      <c r="K350" s="693"/>
      <c r="L350" s="693"/>
      <c r="M350" s="693"/>
      <c r="N350" s="693"/>
      <c r="O350" s="693"/>
      <c r="P350" s="693"/>
      <c r="Q350" s="694"/>
      <c r="S350" s="603">
        <f t="shared" si="63"/>
        <v>0</v>
      </c>
      <c r="T350" s="599">
        <f t="shared" si="64"/>
        <v>0</v>
      </c>
    </row>
    <row r="351" spans="1:20" ht="15">
      <c r="A351" s="1213"/>
      <c r="B351" s="564">
        <v>31</v>
      </c>
      <c r="C351" s="565"/>
      <c r="D351" s="564"/>
      <c r="E351" s="696"/>
      <c r="F351" s="566"/>
      <c r="G351" s="566"/>
      <c r="H351" s="566"/>
      <c r="I351" s="567"/>
      <c r="J351" s="567"/>
      <c r="K351" s="567"/>
      <c r="L351" s="567"/>
      <c r="M351" s="567"/>
      <c r="N351" s="567"/>
      <c r="O351" s="567"/>
      <c r="P351" s="567"/>
      <c r="Q351" s="692"/>
      <c r="S351" s="603">
        <f t="shared" si="63"/>
        <v>0</v>
      </c>
      <c r="T351" s="599">
        <f t="shared" si="64"/>
        <v>0</v>
      </c>
    </row>
    <row r="352" spans="1:20" ht="15">
      <c r="A352" s="1213"/>
      <c r="B352" s="564">
        <v>32</v>
      </c>
      <c r="C352" s="565"/>
      <c r="D352" s="564"/>
      <c r="E352" s="696"/>
      <c r="F352" s="566"/>
      <c r="G352" s="566"/>
      <c r="H352" s="566"/>
      <c r="I352" s="567"/>
      <c r="J352" s="567"/>
      <c r="K352" s="567"/>
      <c r="L352" s="567"/>
      <c r="M352" s="567"/>
      <c r="N352" s="567"/>
      <c r="O352" s="567"/>
      <c r="P352" s="567"/>
      <c r="Q352" s="692"/>
      <c r="S352" s="603">
        <f t="shared" si="63"/>
        <v>0</v>
      </c>
      <c r="T352" s="599">
        <f t="shared" si="64"/>
        <v>0</v>
      </c>
    </row>
    <row r="353" spans="1:20" ht="15">
      <c r="A353" s="1213"/>
      <c r="B353" s="564">
        <v>33</v>
      </c>
      <c r="C353" s="565"/>
      <c r="D353" s="564"/>
      <c r="E353" s="696"/>
      <c r="F353" s="566"/>
      <c r="G353" s="566"/>
      <c r="H353" s="566"/>
      <c r="I353" s="567"/>
      <c r="J353" s="567"/>
      <c r="K353" s="567"/>
      <c r="L353" s="567"/>
      <c r="M353" s="567"/>
      <c r="N353" s="567"/>
      <c r="O353" s="567"/>
      <c r="P353" s="567"/>
      <c r="Q353" s="692"/>
      <c r="S353" s="603">
        <f t="shared" si="63"/>
        <v>0</v>
      </c>
      <c r="T353" s="599">
        <f t="shared" si="64"/>
        <v>0</v>
      </c>
    </row>
    <row r="354" spans="1:20" ht="15">
      <c r="A354" s="1213"/>
      <c r="B354" s="564">
        <v>34</v>
      </c>
      <c r="C354" s="565"/>
      <c r="D354" s="564"/>
      <c r="E354" s="696"/>
      <c r="F354" s="566"/>
      <c r="G354" s="566"/>
      <c r="H354" s="566"/>
      <c r="I354" s="567"/>
      <c r="J354" s="567"/>
      <c r="K354" s="567"/>
      <c r="L354" s="567"/>
      <c r="M354" s="567"/>
      <c r="N354" s="567"/>
      <c r="O354" s="567"/>
      <c r="P354" s="567"/>
      <c r="Q354" s="692"/>
      <c r="S354" s="603">
        <f t="shared" si="63"/>
        <v>0</v>
      </c>
      <c r="T354" s="599">
        <f t="shared" si="64"/>
        <v>0</v>
      </c>
    </row>
    <row r="355" spans="1:20" ht="15">
      <c r="A355" s="1213"/>
      <c r="B355" s="564">
        <v>35</v>
      </c>
      <c r="C355" s="565"/>
      <c r="D355" s="564"/>
      <c r="E355" s="696"/>
      <c r="F355" s="566"/>
      <c r="G355" s="566"/>
      <c r="H355" s="566"/>
      <c r="I355" s="567"/>
      <c r="J355" s="567"/>
      <c r="K355" s="567"/>
      <c r="L355" s="567"/>
      <c r="M355" s="567"/>
      <c r="N355" s="567"/>
      <c r="O355" s="567"/>
      <c r="P355" s="567"/>
      <c r="Q355" s="692"/>
      <c r="S355" s="603">
        <f t="shared" si="63"/>
        <v>0</v>
      </c>
      <c r="T355" s="599">
        <f t="shared" si="64"/>
        <v>0</v>
      </c>
    </row>
    <row r="356" spans="1:20" ht="15">
      <c r="A356" s="1213"/>
      <c r="B356" s="564">
        <v>36</v>
      </c>
      <c r="C356" s="565"/>
      <c r="D356" s="564"/>
      <c r="E356" s="696"/>
      <c r="F356" s="566"/>
      <c r="G356" s="566"/>
      <c r="H356" s="566"/>
      <c r="I356" s="567"/>
      <c r="J356" s="567"/>
      <c r="K356" s="567"/>
      <c r="L356" s="567"/>
      <c r="M356" s="567"/>
      <c r="N356" s="567"/>
      <c r="O356" s="567"/>
      <c r="P356" s="567"/>
      <c r="Q356" s="692"/>
      <c r="S356" s="603">
        <f t="shared" si="63"/>
        <v>0</v>
      </c>
      <c r="T356" s="599">
        <f t="shared" si="64"/>
        <v>0</v>
      </c>
    </row>
    <row r="357" spans="1:20" ht="15">
      <c r="A357" s="1213"/>
      <c r="B357" s="564">
        <v>37</v>
      </c>
      <c r="C357" s="565"/>
      <c r="D357" s="564"/>
      <c r="E357" s="696"/>
      <c r="F357" s="566"/>
      <c r="G357" s="566"/>
      <c r="H357" s="566"/>
      <c r="I357" s="567"/>
      <c r="J357" s="567"/>
      <c r="K357" s="567"/>
      <c r="L357" s="567"/>
      <c r="M357" s="567"/>
      <c r="N357" s="567"/>
      <c r="O357" s="567"/>
      <c r="P357" s="567"/>
      <c r="Q357" s="692"/>
      <c r="S357" s="603">
        <f t="shared" si="63"/>
        <v>0</v>
      </c>
      <c r="T357" s="599">
        <f t="shared" si="64"/>
        <v>0</v>
      </c>
    </row>
    <row r="358" spans="1:20" ht="15">
      <c r="A358" s="1213"/>
      <c r="B358" s="564">
        <v>38</v>
      </c>
      <c r="C358" s="565"/>
      <c r="D358" s="564"/>
      <c r="E358" s="696"/>
      <c r="F358" s="566"/>
      <c r="G358" s="566"/>
      <c r="H358" s="566"/>
      <c r="I358" s="567"/>
      <c r="J358" s="567"/>
      <c r="K358" s="567"/>
      <c r="L358" s="567"/>
      <c r="M358" s="567"/>
      <c r="N358" s="567"/>
      <c r="O358" s="567"/>
      <c r="P358" s="567"/>
      <c r="Q358" s="692"/>
      <c r="S358" s="603">
        <f t="shared" si="63"/>
        <v>0</v>
      </c>
      <c r="T358" s="599">
        <f t="shared" si="64"/>
        <v>0</v>
      </c>
    </row>
    <row r="359" spans="1:20" ht="15">
      <c r="A359" s="1213"/>
      <c r="B359" s="564">
        <v>39</v>
      </c>
      <c r="C359" s="565"/>
      <c r="D359" s="564"/>
      <c r="E359" s="696"/>
      <c r="F359" s="566"/>
      <c r="G359" s="566"/>
      <c r="H359" s="566"/>
      <c r="I359" s="567"/>
      <c r="J359" s="567"/>
      <c r="K359" s="567"/>
      <c r="L359" s="567"/>
      <c r="M359" s="567"/>
      <c r="N359" s="567"/>
      <c r="O359" s="567"/>
      <c r="P359" s="567"/>
      <c r="Q359" s="692"/>
      <c r="S359" s="603">
        <f t="shared" si="63"/>
        <v>0</v>
      </c>
      <c r="T359" s="599">
        <f t="shared" si="64"/>
        <v>0</v>
      </c>
    </row>
    <row r="360" spans="1:20" ht="15.75" thickBot="1">
      <c r="A360" s="1213"/>
      <c r="B360" s="564">
        <v>40</v>
      </c>
      <c r="C360" s="565"/>
      <c r="D360" s="564"/>
      <c r="E360" s="696"/>
      <c r="F360" s="566"/>
      <c r="G360" s="566"/>
      <c r="H360" s="566"/>
      <c r="I360" s="567"/>
      <c r="J360" s="567"/>
      <c r="K360" s="567"/>
      <c r="L360" s="567"/>
      <c r="M360" s="567"/>
      <c r="N360" s="567"/>
      <c r="O360" s="567"/>
      <c r="P360" s="567"/>
      <c r="Q360" s="692"/>
      <c r="S360" s="604">
        <f t="shared" si="63"/>
        <v>0</v>
      </c>
      <c r="T360" s="600">
        <f t="shared" si="64"/>
        <v>0</v>
      </c>
    </row>
    <row r="361" spans="1:20" ht="15.75" thickBot="1">
      <c r="A361" s="1213"/>
      <c r="B361" s="576"/>
      <c r="C361" s="576"/>
      <c r="D361" s="576"/>
      <c r="E361" s="576"/>
      <c r="F361" s="576"/>
      <c r="G361" s="576"/>
      <c r="H361" s="576"/>
      <c r="I361" s="576"/>
      <c r="J361" s="576"/>
      <c r="K361" s="576"/>
      <c r="L361" s="576"/>
      <c r="M361" s="576"/>
      <c r="N361" s="576"/>
      <c r="O361" s="576"/>
      <c r="P361" s="576"/>
      <c r="Q361" s="576"/>
    </row>
    <row r="362" spans="1:20" ht="15">
      <c r="A362" s="1213"/>
      <c r="B362" s="613"/>
      <c r="C362" s="614"/>
      <c r="D362" s="617" t="s">
        <v>968</v>
      </c>
      <c r="E362" s="577">
        <f>SUMPRODUCT(T321:T360,E321:E360)</f>
        <v>1847500</v>
      </c>
      <c r="F362" s="578"/>
      <c r="G362" s="578"/>
      <c r="H362" s="578"/>
      <c r="I362" s="579"/>
      <c r="J362" s="580"/>
      <c r="K362" s="581"/>
      <c r="L362" s="581"/>
      <c r="M362" s="581"/>
      <c r="N362" s="581"/>
      <c r="O362" s="581"/>
      <c r="P362" s="581"/>
      <c r="Q362" s="582"/>
      <c r="S362" s="606">
        <f>SUM(S321:S360)</f>
        <v>1</v>
      </c>
      <c r="T362" s="606">
        <f>SUM(T321:T360)</f>
        <v>2</v>
      </c>
    </row>
    <row r="363" spans="1:20" ht="15.75" thickBot="1">
      <c r="A363" s="1213"/>
      <c r="B363" s="615"/>
      <c r="C363" s="616"/>
      <c r="D363" s="618" t="s">
        <v>969</v>
      </c>
      <c r="E363" s="583"/>
      <c r="F363" s="584">
        <f>IF($T362=0,0,(SUMPRODUCT($T321:$T360,F321:F360,$E321:$E360)/$E362))</f>
        <v>4.1880920162381594</v>
      </c>
      <c r="G363" s="584">
        <f t="shared" ref="G363" si="65">IF($T362=0,0,(SUMPRODUCT($T321:$T360,G321:G360,$E321:$E360)/$E362))</f>
        <v>4.9097880018042401</v>
      </c>
      <c r="H363" s="584">
        <f t="shared" ref="H363" si="66">IF($T362=0,0,(SUMPRODUCT($T321:$T360,H321:H360,$E321:$E360)/$E362))</f>
        <v>5.5412719891745601</v>
      </c>
      <c r="I363" s="585">
        <f t="shared" ref="I363:Q363" si="67">IF($T362=0,0,(SUMPRODUCT($T321:$T360,I321:I360,$E321:$E360)/$E362))</f>
        <v>2.1747396831740726</v>
      </c>
      <c r="J363" s="586">
        <f t="shared" si="67"/>
        <v>1.3333567987466033</v>
      </c>
      <c r="K363" s="587">
        <f t="shared" si="67"/>
        <v>0.30172413793103448</v>
      </c>
      <c r="L363" s="587">
        <f t="shared" si="67"/>
        <v>0.52586206896551724</v>
      </c>
      <c r="M363" s="587">
        <f t="shared" si="67"/>
        <v>0.12931034482758622</v>
      </c>
      <c r="N363" s="587">
        <f t="shared" si="67"/>
        <v>4.3103448275862079E-2</v>
      </c>
      <c r="O363" s="587">
        <f t="shared" si="67"/>
        <v>0</v>
      </c>
      <c r="P363" s="587">
        <f t="shared" si="67"/>
        <v>0</v>
      </c>
      <c r="Q363" s="588">
        <f t="shared" si="67"/>
        <v>0</v>
      </c>
    </row>
    <row r="364" spans="1:20" ht="15">
      <c r="A364" s="1213"/>
      <c r="B364" s="613"/>
      <c r="C364" s="614"/>
      <c r="D364" s="617" t="s">
        <v>970</v>
      </c>
      <c r="E364" s="577">
        <f>SUMPRODUCT(S321:S360,E321:E360)</f>
        <v>402500</v>
      </c>
      <c r="F364" s="578"/>
      <c r="G364" s="578"/>
      <c r="H364" s="578"/>
      <c r="I364" s="579"/>
      <c r="J364" s="589"/>
      <c r="K364" s="581"/>
      <c r="L364" s="581"/>
      <c r="M364" s="581"/>
      <c r="N364" s="581"/>
      <c r="O364" s="581"/>
      <c r="P364" s="581"/>
      <c r="Q364" s="582"/>
    </row>
    <row r="365" spans="1:20" ht="15.75" thickBot="1">
      <c r="A365" s="1213"/>
      <c r="B365" s="615"/>
      <c r="C365" s="616"/>
      <c r="D365" s="618" t="s">
        <v>971</v>
      </c>
      <c r="E365" s="583"/>
      <c r="F365" s="584">
        <f>IF($S362=0,0,(SUMPRODUCT($S321:$S360,F321:F360,$E321:$E360)/$E364))</f>
        <v>5</v>
      </c>
      <c r="G365" s="584">
        <f t="shared" ref="G365" si="68">IF($S362=0,0,(SUMPRODUCT($S321:$S360,G321:G360,$E321:$E360)/$E364))</f>
        <v>5</v>
      </c>
      <c r="H365" s="584">
        <f t="shared" ref="H365" si="69">IF($S362=0,0,(SUMPRODUCT($S321:$S360,H321:H360,$E321:$E360)/$E364))</f>
        <v>5</v>
      </c>
      <c r="I365" s="585">
        <f t="shared" ref="I365:Q365" si="70">IF($S362=0,0,(SUMPRODUCT($S321:$S360,I321:I360,$E321:$E360)/$E364))</f>
        <v>2.1747396831740726</v>
      </c>
      <c r="J365" s="586">
        <f t="shared" si="70"/>
        <v>1.3333567987466031</v>
      </c>
      <c r="K365" s="587">
        <f t="shared" si="70"/>
        <v>0.30172413793103448</v>
      </c>
      <c r="L365" s="587">
        <f t="shared" si="70"/>
        <v>0.52586206896551724</v>
      </c>
      <c r="M365" s="587">
        <f t="shared" si="70"/>
        <v>0.12931034482758622</v>
      </c>
      <c r="N365" s="587">
        <f t="shared" si="70"/>
        <v>4.3103448275862079E-2</v>
      </c>
      <c r="O365" s="587">
        <f t="shared" si="70"/>
        <v>0</v>
      </c>
      <c r="P365" s="587">
        <f t="shared" si="70"/>
        <v>0</v>
      </c>
      <c r="Q365" s="588">
        <f t="shared" si="70"/>
        <v>0</v>
      </c>
    </row>
    <row r="366" spans="1:20" ht="15">
      <c r="A366" s="1213"/>
      <c r="B366" s="613"/>
      <c r="C366" s="614"/>
      <c r="D366" s="617" t="s">
        <v>972</v>
      </c>
      <c r="E366" s="577">
        <f>SUM(E321:E360)</f>
        <v>2250000</v>
      </c>
      <c r="F366" s="578"/>
      <c r="G366" s="578"/>
      <c r="H366" s="578"/>
      <c r="I366" s="579"/>
      <c r="J366" s="580"/>
      <c r="K366" s="581"/>
      <c r="L366" s="581"/>
      <c r="M366" s="581"/>
      <c r="N366" s="581"/>
      <c r="O366" s="581"/>
      <c r="P366" s="581"/>
      <c r="Q366" s="582"/>
    </row>
    <row r="367" spans="1:20" ht="15.75" thickBot="1">
      <c r="A367" s="1213"/>
      <c r="B367" s="615"/>
      <c r="C367" s="616"/>
      <c r="D367" s="618" t="s">
        <v>973</v>
      </c>
      <c r="E367" s="583"/>
      <c r="F367" s="584">
        <f>SUMPRODUCT($E321:$E360,F321:F360)/$E366</f>
        <v>4.333333333333333</v>
      </c>
      <c r="G367" s="584">
        <f t="shared" ref="G367" si="71">SUMPRODUCT($E321:$E360,G321:G360)/$E366</f>
        <v>4.9259259259259265</v>
      </c>
      <c r="H367" s="584">
        <f t="shared" ref="H367" si="72">SUMPRODUCT($E321:$E360,H321:H360)/$E366</f>
        <v>5.4444444444444446</v>
      </c>
      <c r="I367" s="585">
        <f t="shared" ref="I367:Q367" si="73">SUMPRODUCT($E321:$E360,I321:I360)/$E366</f>
        <v>2.1747396831740731</v>
      </c>
      <c r="J367" s="586">
        <f t="shared" si="73"/>
        <v>1.3333567987466033</v>
      </c>
      <c r="K367" s="801">
        <f t="shared" si="73"/>
        <v>0.30172413793103448</v>
      </c>
      <c r="L367" s="801">
        <f t="shared" si="73"/>
        <v>0.52586206896551724</v>
      </c>
      <c r="M367" s="801">
        <f t="shared" si="73"/>
        <v>0.12931034482758622</v>
      </c>
      <c r="N367" s="801">
        <f t="shared" si="73"/>
        <v>4.3103448275862079E-2</v>
      </c>
      <c r="O367" s="801">
        <f t="shared" si="73"/>
        <v>0</v>
      </c>
      <c r="P367" s="587">
        <f t="shared" si="73"/>
        <v>0</v>
      </c>
      <c r="Q367" s="588">
        <f t="shared" si="73"/>
        <v>0</v>
      </c>
    </row>
    <row r="368" spans="1:20" ht="15">
      <c r="A368" s="557"/>
      <c r="B368" s="557"/>
      <c r="C368" s="557"/>
      <c r="D368" s="557"/>
      <c r="E368" s="557"/>
      <c r="F368" s="557"/>
      <c r="G368" s="557"/>
      <c r="H368" s="557"/>
      <c r="I368" s="557"/>
      <c r="J368" s="590"/>
      <c r="K368" s="557"/>
      <c r="L368" s="557"/>
      <c r="M368" s="557"/>
      <c r="N368" s="557"/>
      <c r="O368" s="557"/>
      <c r="P368" s="557"/>
      <c r="Q368" s="557"/>
    </row>
    <row r="369" spans="1:20" ht="15">
      <c r="A369" s="591"/>
      <c r="B369" s="554"/>
      <c r="C369" s="591"/>
      <c r="D369" s="591"/>
      <c r="E369" s="591"/>
      <c r="F369" s="591"/>
      <c r="G369" s="591"/>
      <c r="H369" s="591"/>
      <c r="I369" s="591"/>
      <c r="J369" s="591"/>
      <c r="K369" s="554"/>
      <c r="L369" s="591"/>
      <c r="M369" s="591"/>
      <c r="N369" s="591"/>
      <c r="O369" s="591"/>
      <c r="P369" s="591"/>
      <c r="Q369" s="591"/>
      <c r="R369" s="592"/>
    </row>
    <row r="370" spans="1:20" ht="15">
      <c r="A370" s="557"/>
      <c r="B370" s="799" t="s">
        <v>1173</v>
      </c>
      <c r="C370" s="800" t="s">
        <v>1137</v>
      </c>
      <c r="D370" s="557"/>
      <c r="E370" s="557"/>
      <c r="F370" s="557"/>
      <c r="G370" s="557"/>
      <c r="H370" s="557"/>
      <c r="I370" s="557"/>
      <c r="J370" s="557"/>
      <c r="K370" s="557"/>
      <c r="L370" s="557"/>
      <c r="M370" s="557"/>
      <c r="N370" s="557"/>
      <c r="O370" s="557"/>
      <c r="P370" s="557"/>
      <c r="Q370" s="557"/>
    </row>
    <row r="371" spans="1:20" ht="15" customHeight="1" thickBot="1">
      <c r="A371" s="557"/>
      <c r="B371" s="799" t="s">
        <v>1174</v>
      </c>
      <c r="C371" s="800" t="s">
        <v>1180</v>
      </c>
      <c r="D371" s="557"/>
      <c r="E371" s="557"/>
      <c r="F371" s="608"/>
      <c r="G371" s="609" t="s">
        <v>173</v>
      </c>
      <c r="H371" s="609"/>
      <c r="I371" s="557"/>
      <c r="J371" s="557"/>
      <c r="K371" s="610"/>
      <c r="L371" s="611"/>
      <c r="M371" s="611" t="s">
        <v>954</v>
      </c>
      <c r="N371" s="611"/>
      <c r="O371" s="611"/>
      <c r="P371" s="611"/>
      <c r="Q371" s="612"/>
    </row>
    <row r="372" spans="1:20" ht="30.75" customHeight="1" thickBot="1">
      <c r="A372" s="1213" t="s">
        <v>1231</v>
      </c>
      <c r="B372" s="558" t="s">
        <v>955</v>
      </c>
      <c r="C372" s="559" t="s">
        <v>104</v>
      </c>
      <c r="D372" s="558" t="s">
        <v>769</v>
      </c>
      <c r="E372" s="558" t="s">
        <v>255</v>
      </c>
      <c r="F372" s="560" t="s">
        <v>956</v>
      </c>
      <c r="G372" s="560" t="s">
        <v>957</v>
      </c>
      <c r="H372" s="560" t="s">
        <v>958</v>
      </c>
      <c r="I372" s="561" t="s">
        <v>959</v>
      </c>
      <c r="J372" s="562" t="s">
        <v>960</v>
      </c>
      <c r="K372" s="562" t="s">
        <v>961</v>
      </c>
      <c r="L372" s="562" t="s">
        <v>962</v>
      </c>
      <c r="M372" s="562" t="s">
        <v>963</v>
      </c>
      <c r="N372" s="562" t="s">
        <v>964</v>
      </c>
      <c r="O372" s="562" t="s">
        <v>965</v>
      </c>
      <c r="P372" s="562" t="s">
        <v>966</v>
      </c>
      <c r="Q372" s="563" t="s">
        <v>967</v>
      </c>
      <c r="S372" s="602" t="s">
        <v>771</v>
      </c>
      <c r="T372" s="601" t="s">
        <v>770</v>
      </c>
    </row>
    <row r="373" spans="1:20" ht="15">
      <c r="A373" s="1213"/>
      <c r="B373" s="564">
        <v>1</v>
      </c>
      <c r="C373" s="565" t="s">
        <v>1058</v>
      </c>
      <c r="D373" s="564" t="s">
        <v>770</v>
      </c>
      <c r="E373" s="696">
        <v>7676532</v>
      </c>
      <c r="F373" s="566">
        <v>5</v>
      </c>
      <c r="G373" s="566">
        <v>5</v>
      </c>
      <c r="H373" s="566">
        <v>5</v>
      </c>
      <c r="I373" s="567">
        <v>2.2730303617553296</v>
      </c>
      <c r="J373" s="568">
        <v>1.447651083752618</v>
      </c>
      <c r="K373" s="569">
        <v>0.05</v>
      </c>
      <c r="L373" s="569">
        <v>0.95</v>
      </c>
      <c r="M373" s="569">
        <v>0</v>
      </c>
      <c r="N373" s="569">
        <v>0</v>
      </c>
      <c r="O373" s="569">
        <v>0</v>
      </c>
      <c r="P373" s="569"/>
      <c r="Q373" s="570"/>
      <c r="S373" s="603">
        <f>IF(D373="Commercial",1,0)</f>
        <v>0</v>
      </c>
      <c r="T373" s="599">
        <f>IF(D373="Residential",1,0)</f>
        <v>1</v>
      </c>
    </row>
    <row r="374" spans="1:20" ht="15">
      <c r="A374" s="1213"/>
      <c r="B374" s="564">
        <v>2</v>
      </c>
      <c r="C374" s="565"/>
      <c r="D374" s="564"/>
      <c r="E374" s="696"/>
      <c r="F374" s="566"/>
      <c r="G374" s="566"/>
      <c r="H374" s="566"/>
      <c r="I374" s="567"/>
      <c r="J374" s="568"/>
      <c r="K374" s="571"/>
      <c r="L374" s="571"/>
      <c r="M374" s="571"/>
      <c r="N374" s="571"/>
      <c r="O374" s="571"/>
      <c r="P374" s="571"/>
      <c r="Q374" s="572"/>
      <c r="S374" s="603">
        <f t="shared" ref="S374:S412" si="74">IF(D374="Commercial",1,0)</f>
        <v>0</v>
      </c>
      <c r="T374" s="599">
        <f t="shared" ref="T374:T412" si="75">IF(D374="Residential",1,0)</f>
        <v>0</v>
      </c>
    </row>
    <row r="375" spans="1:20" ht="15">
      <c r="A375" s="1213"/>
      <c r="B375" s="564">
        <v>3</v>
      </c>
      <c r="C375" s="565"/>
      <c r="D375" s="564"/>
      <c r="E375" s="696"/>
      <c r="F375" s="566"/>
      <c r="G375" s="566"/>
      <c r="H375" s="566"/>
      <c r="I375" s="567"/>
      <c r="J375" s="568"/>
      <c r="K375" s="571"/>
      <c r="L375" s="571"/>
      <c r="M375" s="571"/>
      <c r="N375" s="571"/>
      <c r="O375" s="571"/>
      <c r="P375" s="571"/>
      <c r="Q375" s="572"/>
      <c r="S375" s="603">
        <f t="shared" si="74"/>
        <v>0</v>
      </c>
      <c r="T375" s="599">
        <f t="shared" si="75"/>
        <v>0</v>
      </c>
    </row>
    <row r="376" spans="1:20" ht="15">
      <c r="A376" s="1213"/>
      <c r="B376" s="564">
        <v>4</v>
      </c>
      <c r="C376" s="565"/>
      <c r="D376" s="564"/>
      <c r="E376" s="696"/>
      <c r="F376" s="566"/>
      <c r="G376" s="566"/>
      <c r="H376" s="566"/>
      <c r="I376" s="567"/>
      <c r="J376" s="568"/>
      <c r="K376" s="571"/>
      <c r="L376" s="571"/>
      <c r="M376" s="571"/>
      <c r="N376" s="571"/>
      <c r="O376" s="571"/>
      <c r="P376" s="571"/>
      <c r="Q376" s="572"/>
      <c r="S376" s="603">
        <f t="shared" si="74"/>
        <v>0</v>
      </c>
      <c r="T376" s="599">
        <f t="shared" si="75"/>
        <v>0</v>
      </c>
    </row>
    <row r="377" spans="1:20" ht="15">
      <c r="A377" s="1213"/>
      <c r="B377" s="564">
        <v>5</v>
      </c>
      <c r="C377" s="565"/>
      <c r="D377" s="564"/>
      <c r="E377" s="696"/>
      <c r="F377" s="566"/>
      <c r="G377" s="566"/>
      <c r="H377" s="566"/>
      <c r="I377" s="567"/>
      <c r="J377" s="568"/>
      <c r="K377" s="571"/>
      <c r="L377" s="571"/>
      <c r="M377" s="571"/>
      <c r="N377" s="571"/>
      <c r="O377" s="571"/>
      <c r="P377" s="571"/>
      <c r="Q377" s="572"/>
      <c r="S377" s="603">
        <f t="shared" si="74"/>
        <v>0</v>
      </c>
      <c r="T377" s="599">
        <f t="shared" si="75"/>
        <v>0</v>
      </c>
    </row>
    <row r="378" spans="1:20" ht="15">
      <c r="A378" s="1213"/>
      <c r="B378" s="564">
        <v>6</v>
      </c>
      <c r="C378" s="565"/>
      <c r="D378" s="564"/>
      <c r="E378" s="696"/>
      <c r="F378" s="566"/>
      <c r="G378" s="566"/>
      <c r="H378" s="566"/>
      <c r="I378" s="567"/>
      <c r="J378" s="568"/>
      <c r="K378" s="571"/>
      <c r="L378" s="571"/>
      <c r="M378" s="571"/>
      <c r="N378" s="571"/>
      <c r="O378" s="571"/>
      <c r="P378" s="571"/>
      <c r="Q378" s="572"/>
      <c r="S378" s="603">
        <f t="shared" si="74"/>
        <v>0</v>
      </c>
      <c r="T378" s="599">
        <f t="shared" si="75"/>
        <v>0</v>
      </c>
    </row>
    <row r="379" spans="1:20" ht="15">
      <c r="A379" s="1213"/>
      <c r="B379" s="564">
        <v>7</v>
      </c>
      <c r="C379" s="565"/>
      <c r="D379" s="564"/>
      <c r="E379" s="696"/>
      <c r="F379" s="566"/>
      <c r="G379" s="566"/>
      <c r="H379" s="566"/>
      <c r="I379" s="567"/>
      <c r="J379" s="568"/>
      <c r="K379" s="571"/>
      <c r="L379" s="571"/>
      <c r="M379" s="571"/>
      <c r="N379" s="571"/>
      <c r="O379" s="571"/>
      <c r="P379" s="571"/>
      <c r="Q379" s="572"/>
      <c r="S379" s="603">
        <f t="shared" si="74"/>
        <v>0</v>
      </c>
      <c r="T379" s="599">
        <f t="shared" si="75"/>
        <v>0</v>
      </c>
    </row>
    <row r="380" spans="1:20" ht="15">
      <c r="A380" s="1213"/>
      <c r="B380" s="564">
        <v>8</v>
      </c>
      <c r="C380" s="565"/>
      <c r="D380" s="564"/>
      <c r="E380" s="696"/>
      <c r="F380" s="566"/>
      <c r="G380" s="566"/>
      <c r="H380" s="566"/>
      <c r="I380" s="567"/>
      <c r="J380" s="568"/>
      <c r="K380" s="571"/>
      <c r="L380" s="571"/>
      <c r="M380" s="571"/>
      <c r="N380" s="571"/>
      <c r="O380" s="571"/>
      <c r="P380" s="571"/>
      <c r="Q380" s="572"/>
      <c r="S380" s="603">
        <f t="shared" si="74"/>
        <v>0</v>
      </c>
      <c r="T380" s="599">
        <f t="shared" si="75"/>
        <v>0</v>
      </c>
    </row>
    <row r="381" spans="1:20" ht="15">
      <c r="A381" s="1213"/>
      <c r="B381" s="564">
        <v>9</v>
      </c>
      <c r="C381" s="565"/>
      <c r="D381" s="564"/>
      <c r="E381" s="696"/>
      <c r="F381" s="566"/>
      <c r="G381" s="566"/>
      <c r="H381" s="566"/>
      <c r="I381" s="567"/>
      <c r="J381" s="568"/>
      <c r="K381" s="571"/>
      <c r="L381" s="571"/>
      <c r="M381" s="571"/>
      <c r="N381" s="571"/>
      <c r="O381" s="571"/>
      <c r="P381" s="571"/>
      <c r="Q381" s="572"/>
      <c r="S381" s="603">
        <f t="shared" si="74"/>
        <v>0</v>
      </c>
      <c r="T381" s="599">
        <f t="shared" si="75"/>
        <v>0</v>
      </c>
    </row>
    <row r="382" spans="1:20" ht="15">
      <c r="A382" s="1213"/>
      <c r="B382" s="564">
        <v>10</v>
      </c>
      <c r="C382" s="565"/>
      <c r="D382" s="564"/>
      <c r="E382" s="696"/>
      <c r="F382" s="566"/>
      <c r="G382" s="566"/>
      <c r="H382" s="566"/>
      <c r="I382" s="567"/>
      <c r="J382" s="568"/>
      <c r="K382" s="571"/>
      <c r="L382" s="571"/>
      <c r="M382" s="571"/>
      <c r="N382" s="571"/>
      <c r="O382" s="571"/>
      <c r="P382" s="571"/>
      <c r="Q382" s="572"/>
      <c r="S382" s="603">
        <f t="shared" si="74"/>
        <v>0</v>
      </c>
      <c r="T382" s="599">
        <f t="shared" si="75"/>
        <v>0</v>
      </c>
    </row>
    <row r="383" spans="1:20" ht="15">
      <c r="A383" s="1213"/>
      <c r="B383" s="564">
        <v>11</v>
      </c>
      <c r="C383" s="565"/>
      <c r="D383" s="564"/>
      <c r="E383" s="696"/>
      <c r="F383" s="566"/>
      <c r="G383" s="566"/>
      <c r="H383" s="566"/>
      <c r="I383" s="567"/>
      <c r="J383" s="568"/>
      <c r="K383" s="571"/>
      <c r="L383" s="571"/>
      <c r="M383" s="571"/>
      <c r="N383" s="571"/>
      <c r="O383" s="571"/>
      <c r="P383" s="571"/>
      <c r="Q383" s="572"/>
      <c r="S383" s="603">
        <f t="shared" si="74"/>
        <v>0</v>
      </c>
      <c r="T383" s="599">
        <f t="shared" si="75"/>
        <v>0</v>
      </c>
    </row>
    <row r="384" spans="1:20" ht="15">
      <c r="A384" s="1213"/>
      <c r="B384" s="564">
        <v>12</v>
      </c>
      <c r="C384" s="565"/>
      <c r="D384" s="564"/>
      <c r="E384" s="696"/>
      <c r="F384" s="566"/>
      <c r="G384" s="566"/>
      <c r="H384" s="566"/>
      <c r="I384" s="567"/>
      <c r="J384" s="568"/>
      <c r="K384" s="571"/>
      <c r="L384" s="571"/>
      <c r="M384" s="571"/>
      <c r="N384" s="571"/>
      <c r="O384" s="571"/>
      <c r="P384" s="571"/>
      <c r="Q384" s="572"/>
      <c r="S384" s="603">
        <f t="shared" si="74"/>
        <v>0</v>
      </c>
      <c r="T384" s="599">
        <f t="shared" si="75"/>
        <v>0</v>
      </c>
    </row>
    <row r="385" spans="1:20" ht="15">
      <c r="A385" s="1213"/>
      <c r="B385" s="564">
        <v>13</v>
      </c>
      <c r="C385" s="565"/>
      <c r="D385" s="564"/>
      <c r="E385" s="696"/>
      <c r="F385" s="566"/>
      <c r="G385" s="566"/>
      <c r="H385" s="566"/>
      <c r="I385" s="567"/>
      <c r="J385" s="568"/>
      <c r="K385" s="571"/>
      <c r="L385" s="571"/>
      <c r="M385" s="571"/>
      <c r="N385" s="571"/>
      <c r="O385" s="571"/>
      <c r="P385" s="571"/>
      <c r="Q385" s="572"/>
      <c r="S385" s="603">
        <f t="shared" si="74"/>
        <v>0</v>
      </c>
      <c r="T385" s="599">
        <f t="shared" si="75"/>
        <v>0</v>
      </c>
    </row>
    <row r="386" spans="1:20" ht="15">
      <c r="A386" s="1213"/>
      <c r="B386" s="564">
        <v>14</v>
      </c>
      <c r="C386" s="565"/>
      <c r="D386" s="564"/>
      <c r="E386" s="696"/>
      <c r="F386" s="566"/>
      <c r="G386" s="566"/>
      <c r="H386" s="566"/>
      <c r="I386" s="567"/>
      <c r="J386" s="568"/>
      <c r="K386" s="571"/>
      <c r="L386" s="571"/>
      <c r="M386" s="571"/>
      <c r="N386" s="571"/>
      <c r="O386" s="571"/>
      <c r="P386" s="571"/>
      <c r="Q386" s="572"/>
      <c r="S386" s="603">
        <f t="shared" si="74"/>
        <v>0</v>
      </c>
      <c r="T386" s="599">
        <f t="shared" si="75"/>
        <v>0</v>
      </c>
    </row>
    <row r="387" spans="1:20" ht="15">
      <c r="A387" s="1213"/>
      <c r="B387" s="564">
        <v>15</v>
      </c>
      <c r="C387" s="565"/>
      <c r="D387" s="564"/>
      <c r="E387" s="696"/>
      <c r="F387" s="566"/>
      <c r="G387" s="566"/>
      <c r="H387" s="566"/>
      <c r="I387" s="567"/>
      <c r="J387" s="568"/>
      <c r="K387" s="571"/>
      <c r="L387" s="571"/>
      <c r="M387" s="571"/>
      <c r="N387" s="571"/>
      <c r="O387" s="571"/>
      <c r="P387" s="571"/>
      <c r="Q387" s="572"/>
      <c r="S387" s="603">
        <f t="shared" si="74"/>
        <v>0</v>
      </c>
      <c r="T387" s="599">
        <f t="shared" si="75"/>
        <v>0</v>
      </c>
    </row>
    <row r="388" spans="1:20" ht="15">
      <c r="A388" s="1213"/>
      <c r="B388" s="564">
        <v>16</v>
      </c>
      <c r="C388" s="565"/>
      <c r="D388" s="564"/>
      <c r="E388" s="696"/>
      <c r="F388" s="566"/>
      <c r="G388" s="566"/>
      <c r="H388" s="566"/>
      <c r="I388" s="567"/>
      <c r="J388" s="568"/>
      <c r="K388" s="571"/>
      <c r="L388" s="571"/>
      <c r="M388" s="571"/>
      <c r="N388" s="571"/>
      <c r="O388" s="571"/>
      <c r="P388" s="571"/>
      <c r="Q388" s="572"/>
      <c r="S388" s="603">
        <f t="shared" si="74"/>
        <v>0</v>
      </c>
      <c r="T388" s="599">
        <f t="shared" si="75"/>
        <v>0</v>
      </c>
    </row>
    <row r="389" spans="1:20" ht="15">
      <c r="A389" s="1213"/>
      <c r="B389" s="564">
        <v>17</v>
      </c>
      <c r="C389" s="565"/>
      <c r="D389" s="564"/>
      <c r="E389" s="696"/>
      <c r="F389" s="566"/>
      <c r="G389" s="566"/>
      <c r="H389" s="566"/>
      <c r="I389" s="567"/>
      <c r="J389" s="567"/>
      <c r="K389" s="567"/>
      <c r="L389" s="567"/>
      <c r="M389" s="567"/>
      <c r="N389" s="567"/>
      <c r="O389" s="567"/>
      <c r="P389" s="567"/>
      <c r="Q389" s="692"/>
      <c r="S389" s="603">
        <f t="shared" si="74"/>
        <v>0</v>
      </c>
      <c r="T389" s="599">
        <f t="shared" si="75"/>
        <v>0</v>
      </c>
    </row>
    <row r="390" spans="1:20" ht="15">
      <c r="A390" s="1213"/>
      <c r="B390" s="564">
        <v>18</v>
      </c>
      <c r="C390" s="565"/>
      <c r="D390" s="564"/>
      <c r="E390" s="696"/>
      <c r="F390" s="566"/>
      <c r="G390" s="566"/>
      <c r="H390" s="566"/>
      <c r="I390" s="567"/>
      <c r="J390" s="567"/>
      <c r="K390" s="567"/>
      <c r="L390" s="567"/>
      <c r="M390" s="567"/>
      <c r="N390" s="567"/>
      <c r="O390" s="567"/>
      <c r="P390" s="567"/>
      <c r="Q390" s="692"/>
      <c r="S390" s="603">
        <f t="shared" si="74"/>
        <v>0</v>
      </c>
      <c r="T390" s="599">
        <f t="shared" si="75"/>
        <v>0</v>
      </c>
    </row>
    <row r="391" spans="1:20" ht="15">
      <c r="A391" s="1213"/>
      <c r="B391" s="564">
        <v>19</v>
      </c>
      <c r="C391" s="565"/>
      <c r="D391" s="564"/>
      <c r="E391" s="696"/>
      <c r="F391" s="566"/>
      <c r="G391" s="566"/>
      <c r="H391" s="566"/>
      <c r="I391" s="567"/>
      <c r="J391" s="567"/>
      <c r="K391" s="567"/>
      <c r="L391" s="567"/>
      <c r="M391" s="567"/>
      <c r="N391" s="567"/>
      <c r="O391" s="567"/>
      <c r="P391" s="567"/>
      <c r="Q391" s="692"/>
      <c r="S391" s="603">
        <f t="shared" si="74"/>
        <v>0</v>
      </c>
      <c r="T391" s="599">
        <f t="shared" si="75"/>
        <v>0</v>
      </c>
    </row>
    <row r="392" spans="1:20" ht="15">
      <c r="A392" s="1213"/>
      <c r="B392" s="564">
        <v>20</v>
      </c>
      <c r="C392" s="565"/>
      <c r="D392" s="564"/>
      <c r="E392" s="696"/>
      <c r="F392" s="566"/>
      <c r="G392" s="566"/>
      <c r="H392" s="566"/>
      <c r="I392" s="567"/>
      <c r="J392" s="567"/>
      <c r="K392" s="567"/>
      <c r="L392" s="567"/>
      <c r="M392" s="567"/>
      <c r="N392" s="567"/>
      <c r="O392" s="567"/>
      <c r="P392" s="567"/>
      <c r="Q392" s="692"/>
      <c r="S392" s="603">
        <f t="shared" si="74"/>
        <v>0</v>
      </c>
      <c r="T392" s="599">
        <f t="shared" si="75"/>
        <v>0</v>
      </c>
    </row>
    <row r="393" spans="1:20" ht="15">
      <c r="A393" s="1213"/>
      <c r="B393" s="564">
        <v>21</v>
      </c>
      <c r="C393" s="565"/>
      <c r="D393" s="564"/>
      <c r="E393" s="696"/>
      <c r="F393" s="566"/>
      <c r="G393" s="566"/>
      <c r="H393" s="566"/>
      <c r="I393" s="567"/>
      <c r="J393" s="567"/>
      <c r="K393" s="567"/>
      <c r="L393" s="567"/>
      <c r="M393" s="567"/>
      <c r="N393" s="567"/>
      <c r="O393" s="567"/>
      <c r="P393" s="567"/>
      <c r="Q393" s="692"/>
      <c r="S393" s="603">
        <f t="shared" si="74"/>
        <v>0</v>
      </c>
      <c r="T393" s="599">
        <f t="shared" si="75"/>
        <v>0</v>
      </c>
    </row>
    <row r="394" spans="1:20" ht="15">
      <c r="A394" s="1213"/>
      <c r="B394" s="564">
        <v>22</v>
      </c>
      <c r="C394" s="565"/>
      <c r="D394" s="564"/>
      <c r="E394" s="696"/>
      <c r="F394" s="566"/>
      <c r="G394" s="566"/>
      <c r="H394" s="566"/>
      <c r="I394" s="567"/>
      <c r="J394" s="567"/>
      <c r="K394" s="567"/>
      <c r="L394" s="567"/>
      <c r="M394" s="567"/>
      <c r="N394" s="567"/>
      <c r="O394" s="567"/>
      <c r="P394" s="567"/>
      <c r="Q394" s="692"/>
      <c r="S394" s="603">
        <f t="shared" si="74"/>
        <v>0</v>
      </c>
      <c r="T394" s="599">
        <f t="shared" si="75"/>
        <v>0</v>
      </c>
    </row>
    <row r="395" spans="1:20" ht="15">
      <c r="A395" s="1213"/>
      <c r="B395" s="564">
        <v>23</v>
      </c>
      <c r="C395" s="565"/>
      <c r="D395" s="564"/>
      <c r="E395" s="696"/>
      <c r="F395" s="566"/>
      <c r="G395" s="566"/>
      <c r="H395" s="566"/>
      <c r="I395" s="567"/>
      <c r="J395" s="567"/>
      <c r="K395" s="567"/>
      <c r="L395" s="567"/>
      <c r="M395" s="567"/>
      <c r="N395" s="567"/>
      <c r="O395" s="567"/>
      <c r="P395" s="567"/>
      <c r="Q395" s="692"/>
      <c r="S395" s="603">
        <f t="shared" si="74"/>
        <v>0</v>
      </c>
      <c r="T395" s="599">
        <f t="shared" si="75"/>
        <v>0</v>
      </c>
    </row>
    <row r="396" spans="1:20" ht="15">
      <c r="A396" s="1213"/>
      <c r="B396" s="564">
        <v>24</v>
      </c>
      <c r="C396" s="565"/>
      <c r="D396" s="564"/>
      <c r="E396" s="696"/>
      <c r="F396" s="566"/>
      <c r="G396" s="566"/>
      <c r="H396" s="566"/>
      <c r="I396" s="567"/>
      <c r="J396" s="567"/>
      <c r="K396" s="567"/>
      <c r="L396" s="567"/>
      <c r="M396" s="567"/>
      <c r="N396" s="567"/>
      <c r="O396" s="567"/>
      <c r="P396" s="567"/>
      <c r="Q396" s="692"/>
      <c r="S396" s="603">
        <f t="shared" si="74"/>
        <v>0</v>
      </c>
      <c r="T396" s="599">
        <f t="shared" si="75"/>
        <v>0</v>
      </c>
    </row>
    <row r="397" spans="1:20" ht="15">
      <c r="A397" s="1213"/>
      <c r="B397" s="564">
        <v>25</v>
      </c>
      <c r="C397" s="565"/>
      <c r="D397" s="564"/>
      <c r="E397" s="696"/>
      <c r="F397" s="566"/>
      <c r="G397" s="566"/>
      <c r="H397" s="566"/>
      <c r="I397" s="567"/>
      <c r="J397" s="567"/>
      <c r="K397" s="567"/>
      <c r="L397" s="567"/>
      <c r="M397" s="567"/>
      <c r="N397" s="567"/>
      <c r="O397" s="567"/>
      <c r="P397" s="567"/>
      <c r="Q397" s="692"/>
      <c r="S397" s="603">
        <f t="shared" si="74"/>
        <v>0</v>
      </c>
      <c r="T397" s="599">
        <f t="shared" si="75"/>
        <v>0</v>
      </c>
    </row>
    <row r="398" spans="1:20" ht="15">
      <c r="A398" s="1213"/>
      <c r="B398" s="564">
        <v>26</v>
      </c>
      <c r="C398" s="565"/>
      <c r="D398" s="564"/>
      <c r="E398" s="696"/>
      <c r="F398" s="695"/>
      <c r="G398" s="695"/>
      <c r="H398" s="695"/>
      <c r="I398" s="693"/>
      <c r="J398" s="693"/>
      <c r="K398" s="693"/>
      <c r="L398" s="693"/>
      <c r="M398" s="693"/>
      <c r="N398" s="693"/>
      <c r="O398" s="693"/>
      <c r="P398" s="693"/>
      <c r="Q398" s="694"/>
      <c r="S398" s="603">
        <f t="shared" si="74"/>
        <v>0</v>
      </c>
      <c r="T398" s="599">
        <f t="shared" si="75"/>
        <v>0</v>
      </c>
    </row>
    <row r="399" spans="1:20" ht="15">
      <c r="A399" s="1213"/>
      <c r="B399" s="564">
        <v>27</v>
      </c>
      <c r="C399" s="565"/>
      <c r="D399" s="564"/>
      <c r="E399" s="697"/>
      <c r="F399" s="695"/>
      <c r="G399" s="695"/>
      <c r="H399" s="695"/>
      <c r="I399" s="693"/>
      <c r="J399" s="693"/>
      <c r="K399" s="693"/>
      <c r="L399" s="693"/>
      <c r="M399" s="693"/>
      <c r="N399" s="693"/>
      <c r="O399" s="693"/>
      <c r="P399" s="693"/>
      <c r="Q399" s="694"/>
      <c r="S399" s="603">
        <f t="shared" si="74"/>
        <v>0</v>
      </c>
      <c r="T399" s="599">
        <f t="shared" si="75"/>
        <v>0</v>
      </c>
    </row>
    <row r="400" spans="1:20" ht="15">
      <c r="A400" s="1213"/>
      <c r="B400" s="564">
        <v>28</v>
      </c>
      <c r="C400" s="565"/>
      <c r="D400" s="564"/>
      <c r="E400" s="697"/>
      <c r="F400" s="695"/>
      <c r="G400" s="695"/>
      <c r="H400" s="695"/>
      <c r="I400" s="693"/>
      <c r="J400" s="693"/>
      <c r="K400" s="693"/>
      <c r="L400" s="693"/>
      <c r="M400" s="693"/>
      <c r="N400" s="693"/>
      <c r="O400" s="693"/>
      <c r="P400" s="693"/>
      <c r="Q400" s="694"/>
      <c r="S400" s="603">
        <f t="shared" si="74"/>
        <v>0</v>
      </c>
      <c r="T400" s="599">
        <f t="shared" si="75"/>
        <v>0</v>
      </c>
    </row>
    <row r="401" spans="1:20" ht="15">
      <c r="A401" s="1213"/>
      <c r="B401" s="564">
        <v>29</v>
      </c>
      <c r="C401" s="565"/>
      <c r="D401" s="564"/>
      <c r="E401" s="697"/>
      <c r="F401" s="695"/>
      <c r="G401" s="695"/>
      <c r="H401" s="695"/>
      <c r="I401" s="693"/>
      <c r="J401" s="693"/>
      <c r="K401" s="693"/>
      <c r="L401" s="693"/>
      <c r="M401" s="693"/>
      <c r="N401" s="693"/>
      <c r="O401" s="693"/>
      <c r="P401" s="693"/>
      <c r="Q401" s="694"/>
      <c r="S401" s="603">
        <f t="shared" si="74"/>
        <v>0</v>
      </c>
      <c r="T401" s="599">
        <f t="shared" si="75"/>
        <v>0</v>
      </c>
    </row>
    <row r="402" spans="1:20" ht="15">
      <c r="A402" s="1213"/>
      <c r="B402" s="564">
        <v>30</v>
      </c>
      <c r="C402" s="565"/>
      <c r="D402" s="564"/>
      <c r="E402" s="697"/>
      <c r="F402" s="695"/>
      <c r="G402" s="695"/>
      <c r="H402" s="695"/>
      <c r="I402" s="693"/>
      <c r="J402" s="693"/>
      <c r="K402" s="693"/>
      <c r="L402" s="693"/>
      <c r="M402" s="693"/>
      <c r="N402" s="693"/>
      <c r="O402" s="693"/>
      <c r="P402" s="693"/>
      <c r="Q402" s="694"/>
      <c r="S402" s="603">
        <f t="shared" si="74"/>
        <v>0</v>
      </c>
      <c r="T402" s="599">
        <f t="shared" si="75"/>
        <v>0</v>
      </c>
    </row>
    <row r="403" spans="1:20" ht="15">
      <c r="A403" s="1213"/>
      <c r="B403" s="564">
        <v>31</v>
      </c>
      <c r="C403" s="565"/>
      <c r="D403" s="564"/>
      <c r="E403" s="696"/>
      <c r="F403" s="566"/>
      <c r="G403" s="566"/>
      <c r="H403" s="566"/>
      <c r="I403" s="567"/>
      <c r="J403" s="567"/>
      <c r="K403" s="567"/>
      <c r="L403" s="567"/>
      <c r="M403" s="567"/>
      <c r="N403" s="567"/>
      <c r="O403" s="567"/>
      <c r="P403" s="567"/>
      <c r="Q403" s="692"/>
      <c r="S403" s="603">
        <f t="shared" si="74"/>
        <v>0</v>
      </c>
      <c r="T403" s="599">
        <f t="shared" si="75"/>
        <v>0</v>
      </c>
    </row>
    <row r="404" spans="1:20" ht="15">
      <c r="A404" s="1213"/>
      <c r="B404" s="564">
        <v>32</v>
      </c>
      <c r="C404" s="565"/>
      <c r="D404" s="564"/>
      <c r="E404" s="696"/>
      <c r="F404" s="566"/>
      <c r="G404" s="566"/>
      <c r="H404" s="566"/>
      <c r="I404" s="567"/>
      <c r="J404" s="567"/>
      <c r="K404" s="567"/>
      <c r="L404" s="567"/>
      <c r="M404" s="567"/>
      <c r="N404" s="567"/>
      <c r="O404" s="567"/>
      <c r="P404" s="567"/>
      <c r="Q404" s="692"/>
      <c r="S404" s="603">
        <f t="shared" si="74"/>
        <v>0</v>
      </c>
      <c r="T404" s="599">
        <f t="shared" si="75"/>
        <v>0</v>
      </c>
    </row>
    <row r="405" spans="1:20" ht="15">
      <c r="A405" s="1213"/>
      <c r="B405" s="564">
        <v>33</v>
      </c>
      <c r="C405" s="565"/>
      <c r="D405" s="564"/>
      <c r="E405" s="696"/>
      <c r="F405" s="566"/>
      <c r="G405" s="566"/>
      <c r="H405" s="566"/>
      <c r="I405" s="567"/>
      <c r="J405" s="567"/>
      <c r="K405" s="567"/>
      <c r="L405" s="567"/>
      <c r="M405" s="567"/>
      <c r="N405" s="567"/>
      <c r="O405" s="567"/>
      <c r="P405" s="567"/>
      <c r="Q405" s="692"/>
      <c r="S405" s="603">
        <f t="shared" si="74"/>
        <v>0</v>
      </c>
      <c r="T405" s="599">
        <f t="shared" si="75"/>
        <v>0</v>
      </c>
    </row>
    <row r="406" spans="1:20" ht="15">
      <c r="A406" s="1213"/>
      <c r="B406" s="564">
        <v>34</v>
      </c>
      <c r="C406" s="565"/>
      <c r="D406" s="564"/>
      <c r="E406" s="696"/>
      <c r="F406" s="566"/>
      <c r="G406" s="566"/>
      <c r="H406" s="566"/>
      <c r="I406" s="567"/>
      <c r="J406" s="567"/>
      <c r="K406" s="567"/>
      <c r="L406" s="567"/>
      <c r="M406" s="567"/>
      <c r="N406" s="567"/>
      <c r="O406" s="567"/>
      <c r="P406" s="567"/>
      <c r="Q406" s="692"/>
      <c r="S406" s="603">
        <f t="shared" si="74"/>
        <v>0</v>
      </c>
      <c r="T406" s="599">
        <f t="shared" si="75"/>
        <v>0</v>
      </c>
    </row>
    <row r="407" spans="1:20" ht="15">
      <c r="A407" s="1213"/>
      <c r="B407" s="564">
        <v>35</v>
      </c>
      <c r="C407" s="565"/>
      <c r="D407" s="564"/>
      <c r="E407" s="696"/>
      <c r="F407" s="566"/>
      <c r="G407" s="566"/>
      <c r="H407" s="566"/>
      <c r="I407" s="567"/>
      <c r="J407" s="567"/>
      <c r="K407" s="567"/>
      <c r="L407" s="567"/>
      <c r="M407" s="567"/>
      <c r="N407" s="567"/>
      <c r="O407" s="567"/>
      <c r="P407" s="567"/>
      <c r="Q407" s="692"/>
      <c r="S407" s="603">
        <f t="shared" si="74"/>
        <v>0</v>
      </c>
      <c r="T407" s="599">
        <f t="shared" si="75"/>
        <v>0</v>
      </c>
    </row>
    <row r="408" spans="1:20" ht="15">
      <c r="A408" s="1213"/>
      <c r="B408" s="564">
        <v>36</v>
      </c>
      <c r="C408" s="565"/>
      <c r="D408" s="564"/>
      <c r="E408" s="696"/>
      <c r="F408" s="566"/>
      <c r="G408" s="566"/>
      <c r="H408" s="566"/>
      <c r="I408" s="567"/>
      <c r="J408" s="567"/>
      <c r="K408" s="567"/>
      <c r="L408" s="567"/>
      <c r="M408" s="567"/>
      <c r="N408" s="567"/>
      <c r="O408" s="567"/>
      <c r="P408" s="567"/>
      <c r="Q408" s="692"/>
      <c r="S408" s="603">
        <f t="shared" si="74"/>
        <v>0</v>
      </c>
      <c r="T408" s="599">
        <f t="shared" si="75"/>
        <v>0</v>
      </c>
    </row>
    <row r="409" spans="1:20" ht="15">
      <c r="A409" s="1213"/>
      <c r="B409" s="564">
        <v>37</v>
      </c>
      <c r="C409" s="565"/>
      <c r="D409" s="564"/>
      <c r="E409" s="696"/>
      <c r="F409" s="566"/>
      <c r="G409" s="566"/>
      <c r="H409" s="566"/>
      <c r="I409" s="567"/>
      <c r="J409" s="567"/>
      <c r="K409" s="567"/>
      <c r="L409" s="567"/>
      <c r="M409" s="567"/>
      <c r="N409" s="567"/>
      <c r="O409" s="567"/>
      <c r="P409" s="567"/>
      <c r="Q409" s="692"/>
      <c r="S409" s="603">
        <f t="shared" si="74"/>
        <v>0</v>
      </c>
      <c r="T409" s="599">
        <f t="shared" si="75"/>
        <v>0</v>
      </c>
    </row>
    <row r="410" spans="1:20" ht="15">
      <c r="A410" s="1213"/>
      <c r="B410" s="564">
        <v>38</v>
      </c>
      <c r="C410" s="565"/>
      <c r="D410" s="564"/>
      <c r="E410" s="696"/>
      <c r="F410" s="566"/>
      <c r="G410" s="566"/>
      <c r="H410" s="566"/>
      <c r="I410" s="567"/>
      <c r="J410" s="567"/>
      <c r="K410" s="567"/>
      <c r="L410" s="567"/>
      <c r="M410" s="567"/>
      <c r="N410" s="567"/>
      <c r="O410" s="567"/>
      <c r="P410" s="567"/>
      <c r="Q410" s="692"/>
      <c r="S410" s="603">
        <f t="shared" si="74"/>
        <v>0</v>
      </c>
      <c r="T410" s="599">
        <f t="shared" si="75"/>
        <v>0</v>
      </c>
    </row>
    <row r="411" spans="1:20" ht="15">
      <c r="A411" s="1213"/>
      <c r="B411" s="564">
        <v>39</v>
      </c>
      <c r="C411" s="565"/>
      <c r="D411" s="564"/>
      <c r="E411" s="696"/>
      <c r="F411" s="566"/>
      <c r="G411" s="566"/>
      <c r="H411" s="566"/>
      <c r="I411" s="567"/>
      <c r="J411" s="567"/>
      <c r="K411" s="567"/>
      <c r="L411" s="567"/>
      <c r="M411" s="567"/>
      <c r="N411" s="567"/>
      <c r="O411" s="567"/>
      <c r="P411" s="567"/>
      <c r="Q411" s="692"/>
      <c r="S411" s="603">
        <f t="shared" si="74"/>
        <v>0</v>
      </c>
      <c r="T411" s="599">
        <f t="shared" si="75"/>
        <v>0</v>
      </c>
    </row>
    <row r="412" spans="1:20" ht="15.75" thickBot="1">
      <c r="A412" s="1213"/>
      <c r="B412" s="564">
        <v>40</v>
      </c>
      <c r="C412" s="565"/>
      <c r="D412" s="564"/>
      <c r="E412" s="696"/>
      <c r="F412" s="566"/>
      <c r="G412" s="566"/>
      <c r="H412" s="566"/>
      <c r="I412" s="567"/>
      <c r="J412" s="567"/>
      <c r="K412" s="567"/>
      <c r="L412" s="567"/>
      <c r="M412" s="567"/>
      <c r="N412" s="567"/>
      <c r="O412" s="567"/>
      <c r="P412" s="567"/>
      <c r="Q412" s="692"/>
      <c r="S412" s="604">
        <f t="shared" si="74"/>
        <v>0</v>
      </c>
      <c r="T412" s="600">
        <f t="shared" si="75"/>
        <v>0</v>
      </c>
    </row>
    <row r="413" spans="1:20" ht="15.75" thickBot="1">
      <c r="A413" s="1213"/>
      <c r="B413" s="576"/>
      <c r="C413" s="576"/>
      <c r="D413" s="576"/>
      <c r="E413" s="576"/>
      <c r="F413" s="576"/>
      <c r="G413" s="576"/>
      <c r="H413" s="576"/>
      <c r="I413" s="576"/>
      <c r="J413" s="576"/>
      <c r="K413" s="576"/>
      <c r="L413" s="576"/>
      <c r="M413" s="576"/>
      <c r="N413" s="576"/>
      <c r="O413" s="576"/>
      <c r="P413" s="576"/>
      <c r="Q413" s="576"/>
    </row>
    <row r="414" spans="1:20" ht="15">
      <c r="A414" s="1213"/>
      <c r="B414" s="613"/>
      <c r="C414" s="614"/>
      <c r="D414" s="617" t="s">
        <v>968</v>
      </c>
      <c r="E414" s="577">
        <f>SUMPRODUCT(T373:T412,E373:E412)</f>
        <v>7676532</v>
      </c>
      <c r="F414" s="578"/>
      <c r="G414" s="578"/>
      <c r="H414" s="578"/>
      <c r="I414" s="579"/>
      <c r="J414" s="580"/>
      <c r="K414" s="581"/>
      <c r="L414" s="581"/>
      <c r="M414" s="581"/>
      <c r="N414" s="581"/>
      <c r="O414" s="581"/>
      <c r="P414" s="581"/>
      <c r="Q414" s="582"/>
      <c r="S414" s="606">
        <f>SUM(S373:S412)</f>
        <v>0</v>
      </c>
      <c r="T414" s="606">
        <f>SUM(T373:T412)</f>
        <v>1</v>
      </c>
    </row>
    <row r="415" spans="1:20" ht="15.75" thickBot="1">
      <c r="A415" s="1213"/>
      <c r="B415" s="615"/>
      <c r="C415" s="616"/>
      <c r="D415" s="618" t="s">
        <v>969</v>
      </c>
      <c r="E415" s="583"/>
      <c r="F415" s="584">
        <f>IF($T414=0,0,(SUMPRODUCT($T373:$T412,F373:F412,$E373:$E412)/$E414))</f>
        <v>5</v>
      </c>
      <c r="G415" s="584">
        <f t="shared" ref="G415" si="76">IF($T414=0,0,(SUMPRODUCT($T373:$T412,G373:G412,$E373:$E412)/$E414))</f>
        <v>5</v>
      </c>
      <c r="H415" s="584">
        <f t="shared" ref="H415" si="77">IF($T414=0,0,(SUMPRODUCT($T373:$T412,H373:H412,$E373:$E412)/$E414))</f>
        <v>5</v>
      </c>
      <c r="I415" s="585">
        <f t="shared" ref="I415:Q415" si="78">IF($T414=0,0,(SUMPRODUCT($T373:$T412,I373:I412,$E373:$E412)/$E414))</f>
        <v>2.2730303617553296</v>
      </c>
      <c r="J415" s="586">
        <f t="shared" si="78"/>
        <v>1.447651083752618</v>
      </c>
      <c r="K415" s="587">
        <f t="shared" si="78"/>
        <v>0.05</v>
      </c>
      <c r="L415" s="587">
        <f t="shared" si="78"/>
        <v>0.95</v>
      </c>
      <c r="M415" s="587">
        <f t="shared" si="78"/>
        <v>0</v>
      </c>
      <c r="N415" s="587">
        <f t="shared" si="78"/>
        <v>0</v>
      </c>
      <c r="O415" s="587">
        <f t="shared" si="78"/>
        <v>0</v>
      </c>
      <c r="P415" s="587">
        <f t="shared" si="78"/>
        <v>0</v>
      </c>
      <c r="Q415" s="588">
        <f t="shared" si="78"/>
        <v>0</v>
      </c>
    </row>
    <row r="416" spans="1:20" ht="15">
      <c r="A416" s="1213"/>
      <c r="B416" s="613"/>
      <c r="C416" s="614"/>
      <c r="D416" s="617" t="s">
        <v>970</v>
      </c>
      <c r="E416" s="577">
        <f>SUMPRODUCT(S373:S412,E373:E412)</f>
        <v>0</v>
      </c>
      <c r="F416" s="578"/>
      <c r="G416" s="578"/>
      <c r="H416" s="578"/>
      <c r="I416" s="579"/>
      <c r="J416" s="589"/>
      <c r="K416" s="581"/>
      <c r="L416" s="581"/>
      <c r="M416" s="581"/>
      <c r="N416" s="581"/>
      <c r="O416" s="581"/>
      <c r="P416" s="581"/>
      <c r="Q416" s="582"/>
    </row>
    <row r="417" spans="1:20" ht="15.75" thickBot="1">
      <c r="A417" s="1213"/>
      <c r="B417" s="615"/>
      <c r="C417" s="616"/>
      <c r="D417" s="618" t="s">
        <v>971</v>
      </c>
      <c r="E417" s="583"/>
      <c r="F417" s="584">
        <f>IF($S414=0,0,(SUMPRODUCT($S373:$S412,F373:F412,$E373:$E412)/$E416))</f>
        <v>0</v>
      </c>
      <c r="G417" s="584">
        <f t="shared" ref="G417" si="79">IF($S414=0,0,(SUMPRODUCT($S373:$S412,G373:G412,$E373:$E412)/$E416))</f>
        <v>0</v>
      </c>
      <c r="H417" s="584">
        <f t="shared" ref="H417" si="80">IF($S414=0,0,(SUMPRODUCT($S373:$S412,H373:H412,$E373:$E412)/$E416))</f>
        <v>0</v>
      </c>
      <c r="I417" s="585">
        <f t="shared" ref="I417:Q417" si="81">IF($S414=0,0,(SUMPRODUCT($S373:$S412,I373:I412,$E373:$E412)/$E416))</f>
        <v>0</v>
      </c>
      <c r="J417" s="586">
        <f t="shared" si="81"/>
        <v>0</v>
      </c>
      <c r="K417" s="587">
        <f t="shared" si="81"/>
        <v>0</v>
      </c>
      <c r="L417" s="587">
        <f t="shared" si="81"/>
        <v>0</v>
      </c>
      <c r="M417" s="587">
        <f t="shared" si="81"/>
        <v>0</v>
      </c>
      <c r="N417" s="587">
        <f t="shared" si="81"/>
        <v>0</v>
      </c>
      <c r="O417" s="587">
        <f t="shared" si="81"/>
        <v>0</v>
      </c>
      <c r="P417" s="587">
        <f t="shared" si="81"/>
        <v>0</v>
      </c>
      <c r="Q417" s="588">
        <f t="shared" si="81"/>
        <v>0</v>
      </c>
    </row>
    <row r="418" spans="1:20" ht="15">
      <c r="A418" s="1213"/>
      <c r="B418" s="613"/>
      <c r="C418" s="614"/>
      <c r="D418" s="617" t="s">
        <v>972</v>
      </c>
      <c r="E418" s="577">
        <f>SUM(E373:E412)</f>
        <v>7676532</v>
      </c>
      <c r="F418" s="578"/>
      <c r="G418" s="578"/>
      <c r="H418" s="578"/>
      <c r="I418" s="579"/>
      <c r="J418" s="580"/>
      <c r="K418" s="581"/>
      <c r="L418" s="581"/>
      <c r="M418" s="581"/>
      <c r="N418" s="581"/>
      <c r="O418" s="581"/>
      <c r="P418" s="581"/>
      <c r="Q418" s="582"/>
    </row>
    <row r="419" spans="1:20" ht="15.75" thickBot="1">
      <c r="A419" s="1213"/>
      <c r="B419" s="615"/>
      <c r="C419" s="616"/>
      <c r="D419" s="618" t="s">
        <v>973</v>
      </c>
      <c r="E419" s="583"/>
      <c r="F419" s="584">
        <f>SUMPRODUCT($E373:$E412,F373:F412)/$E418</f>
        <v>5</v>
      </c>
      <c r="G419" s="584">
        <f t="shared" ref="G419" si="82">SUMPRODUCT($E373:$E412,G373:G412)/$E418</f>
        <v>5</v>
      </c>
      <c r="H419" s="584">
        <f t="shared" ref="H419" si="83">SUMPRODUCT($E373:$E412,H373:H412)/$E418</f>
        <v>5</v>
      </c>
      <c r="I419" s="585">
        <f t="shared" ref="I419:Q419" si="84">SUMPRODUCT($E373:$E412,I373:I412)/$E418</f>
        <v>2.2730303617553296</v>
      </c>
      <c r="J419" s="586">
        <f t="shared" si="84"/>
        <v>1.447651083752618</v>
      </c>
      <c r="K419" s="801">
        <f t="shared" si="84"/>
        <v>0.05</v>
      </c>
      <c r="L419" s="801">
        <f t="shared" si="84"/>
        <v>0.95</v>
      </c>
      <c r="M419" s="801">
        <f t="shared" si="84"/>
        <v>0</v>
      </c>
      <c r="N419" s="801">
        <f t="shared" si="84"/>
        <v>0</v>
      </c>
      <c r="O419" s="801">
        <f t="shared" si="84"/>
        <v>0</v>
      </c>
      <c r="P419" s="587">
        <f t="shared" si="84"/>
        <v>0</v>
      </c>
      <c r="Q419" s="588">
        <f t="shared" si="84"/>
        <v>0</v>
      </c>
    </row>
    <row r="420" spans="1:20" ht="15">
      <c r="A420" s="557"/>
      <c r="B420" s="557"/>
      <c r="C420" s="557"/>
      <c r="D420" s="557"/>
      <c r="E420" s="557"/>
      <c r="F420" s="557"/>
      <c r="G420" s="557"/>
      <c r="H420" s="557"/>
      <c r="I420" s="557"/>
      <c r="J420" s="590"/>
      <c r="K420" s="557"/>
      <c r="L420" s="557"/>
      <c r="M420" s="557"/>
      <c r="N420" s="557"/>
      <c r="O420" s="557"/>
      <c r="P420" s="557"/>
      <c r="Q420" s="557"/>
    </row>
    <row r="421" spans="1:20" ht="15">
      <c r="A421" s="591"/>
      <c r="B421" s="554"/>
      <c r="C421" s="591"/>
      <c r="D421" s="591"/>
      <c r="E421" s="591"/>
      <c r="F421" s="591"/>
      <c r="G421" s="591"/>
      <c r="H421" s="591"/>
      <c r="I421" s="591"/>
      <c r="J421" s="591"/>
      <c r="K421" s="554"/>
      <c r="L421" s="591"/>
      <c r="M421" s="591"/>
      <c r="N421" s="591"/>
      <c r="O421" s="591"/>
      <c r="P421" s="591"/>
      <c r="Q421" s="591"/>
      <c r="R421" s="592"/>
    </row>
    <row r="422" spans="1:20" ht="15">
      <c r="A422" s="557"/>
      <c r="B422" s="799" t="s">
        <v>1173</v>
      </c>
      <c r="C422" s="800" t="s">
        <v>1138</v>
      </c>
      <c r="D422" s="557"/>
      <c r="E422" s="557"/>
      <c r="F422" s="557"/>
      <c r="G422" s="557"/>
      <c r="H422" s="557"/>
      <c r="I422" s="557"/>
      <c r="J422" s="557"/>
      <c r="K422" s="557"/>
      <c r="L422" s="557"/>
      <c r="M422" s="557"/>
      <c r="N422" s="557"/>
      <c r="O422" s="557"/>
      <c r="P422" s="557"/>
      <c r="Q422" s="557"/>
    </row>
    <row r="423" spans="1:20" ht="15" customHeight="1" thickBot="1">
      <c r="A423" s="557"/>
      <c r="B423" s="799" t="s">
        <v>1174</v>
      </c>
      <c r="C423" s="800" t="s">
        <v>1179</v>
      </c>
      <c r="D423" s="557"/>
      <c r="E423" s="557"/>
      <c r="F423" s="608"/>
      <c r="G423" s="609" t="s">
        <v>173</v>
      </c>
      <c r="H423" s="609"/>
      <c r="I423" s="557"/>
      <c r="J423" s="557"/>
      <c r="K423" s="610"/>
      <c r="L423" s="611"/>
      <c r="M423" s="611" t="s">
        <v>954</v>
      </c>
      <c r="N423" s="611"/>
      <c r="O423" s="611"/>
      <c r="P423" s="611"/>
      <c r="Q423" s="612"/>
    </row>
    <row r="424" spans="1:20" ht="30.75" customHeight="1" thickBot="1">
      <c r="A424" s="1213" t="s">
        <v>1232</v>
      </c>
      <c r="B424" s="558" t="s">
        <v>955</v>
      </c>
      <c r="C424" s="559" t="s">
        <v>104</v>
      </c>
      <c r="D424" s="558" t="s">
        <v>769</v>
      </c>
      <c r="E424" s="558" t="s">
        <v>255</v>
      </c>
      <c r="F424" s="560" t="s">
        <v>956</v>
      </c>
      <c r="G424" s="560" t="s">
        <v>957</v>
      </c>
      <c r="H424" s="560" t="s">
        <v>958</v>
      </c>
      <c r="I424" s="561" t="s">
        <v>959</v>
      </c>
      <c r="J424" s="562" t="s">
        <v>960</v>
      </c>
      <c r="K424" s="562" t="s">
        <v>961</v>
      </c>
      <c r="L424" s="562" t="s">
        <v>962</v>
      </c>
      <c r="M424" s="562" t="s">
        <v>963</v>
      </c>
      <c r="N424" s="562" t="s">
        <v>964</v>
      </c>
      <c r="O424" s="562" t="s">
        <v>965</v>
      </c>
      <c r="P424" s="562" t="s">
        <v>966</v>
      </c>
      <c r="Q424" s="563" t="s">
        <v>967</v>
      </c>
      <c r="S424" s="602" t="s">
        <v>771</v>
      </c>
      <c r="T424" s="601" t="s">
        <v>770</v>
      </c>
    </row>
    <row r="425" spans="1:20" ht="15">
      <c r="A425" s="1213"/>
      <c r="B425" s="564">
        <v>1</v>
      </c>
      <c r="C425" s="565" t="s">
        <v>1022</v>
      </c>
      <c r="D425" s="564" t="s">
        <v>770</v>
      </c>
      <c r="E425" s="696">
        <v>3000</v>
      </c>
      <c r="F425" s="566">
        <v>10</v>
      </c>
      <c r="G425" s="566">
        <v>10</v>
      </c>
      <c r="H425" s="566">
        <v>10</v>
      </c>
      <c r="I425" s="567">
        <v>1.24</v>
      </c>
      <c r="J425" s="568">
        <v>1.24</v>
      </c>
      <c r="K425" s="569">
        <v>0.5</v>
      </c>
      <c r="L425" s="569">
        <v>0.5</v>
      </c>
      <c r="M425" s="569">
        <v>0</v>
      </c>
      <c r="N425" s="569">
        <v>0</v>
      </c>
      <c r="O425" s="569">
        <v>0</v>
      </c>
      <c r="P425" s="569"/>
      <c r="Q425" s="570"/>
      <c r="S425" s="603">
        <f>IF(D425="Commercial",1,0)</f>
        <v>0</v>
      </c>
      <c r="T425" s="599">
        <f>IF(D425="Residential",1,0)</f>
        <v>1</v>
      </c>
    </row>
    <row r="426" spans="1:20" ht="15">
      <c r="A426" s="1213"/>
      <c r="B426" s="564">
        <v>2</v>
      </c>
      <c r="C426" s="565"/>
      <c r="D426" s="564"/>
      <c r="E426" s="696"/>
      <c r="F426" s="566"/>
      <c r="G426" s="566"/>
      <c r="H426" s="566"/>
      <c r="I426" s="567"/>
      <c r="J426" s="568"/>
      <c r="K426" s="571"/>
      <c r="L426" s="571"/>
      <c r="M426" s="571"/>
      <c r="N426" s="571"/>
      <c r="O426" s="571"/>
      <c r="P426" s="571"/>
      <c r="Q426" s="572"/>
      <c r="S426" s="603">
        <f t="shared" ref="S426:S464" si="85">IF(D426="Commercial",1,0)</f>
        <v>0</v>
      </c>
      <c r="T426" s="599">
        <f t="shared" ref="T426:T464" si="86">IF(D426="Residential",1,0)</f>
        <v>0</v>
      </c>
    </row>
    <row r="427" spans="1:20" ht="15">
      <c r="A427" s="1213"/>
      <c r="B427" s="564">
        <v>3</v>
      </c>
      <c r="C427" s="565"/>
      <c r="D427" s="564"/>
      <c r="E427" s="696"/>
      <c r="F427" s="566"/>
      <c r="G427" s="566"/>
      <c r="H427" s="566"/>
      <c r="I427" s="567"/>
      <c r="J427" s="568"/>
      <c r="K427" s="571"/>
      <c r="L427" s="571"/>
      <c r="M427" s="571"/>
      <c r="N427" s="571"/>
      <c r="O427" s="571"/>
      <c r="P427" s="571"/>
      <c r="Q427" s="572"/>
      <c r="S427" s="603">
        <f t="shared" si="85"/>
        <v>0</v>
      </c>
      <c r="T427" s="599">
        <f t="shared" si="86"/>
        <v>0</v>
      </c>
    </row>
    <row r="428" spans="1:20" ht="15">
      <c r="A428" s="1213"/>
      <c r="B428" s="564">
        <v>4</v>
      </c>
      <c r="C428" s="565"/>
      <c r="D428" s="564"/>
      <c r="E428" s="696"/>
      <c r="F428" s="566"/>
      <c r="G428" s="566"/>
      <c r="H428" s="566"/>
      <c r="I428" s="567"/>
      <c r="J428" s="568"/>
      <c r="K428" s="571"/>
      <c r="L428" s="571"/>
      <c r="M428" s="571"/>
      <c r="N428" s="571"/>
      <c r="O428" s="571"/>
      <c r="P428" s="571"/>
      <c r="Q428" s="572"/>
      <c r="S428" s="603">
        <f t="shared" si="85"/>
        <v>0</v>
      </c>
      <c r="T428" s="599">
        <f t="shared" si="86"/>
        <v>0</v>
      </c>
    </row>
    <row r="429" spans="1:20" ht="15">
      <c r="A429" s="1213"/>
      <c r="B429" s="564">
        <v>5</v>
      </c>
      <c r="C429" s="565"/>
      <c r="D429" s="564"/>
      <c r="E429" s="696"/>
      <c r="F429" s="566"/>
      <c r="G429" s="566"/>
      <c r="H429" s="566"/>
      <c r="I429" s="567"/>
      <c r="J429" s="568"/>
      <c r="K429" s="571"/>
      <c r="L429" s="571"/>
      <c r="M429" s="571"/>
      <c r="N429" s="571"/>
      <c r="O429" s="571"/>
      <c r="P429" s="571"/>
      <c r="Q429" s="572"/>
      <c r="S429" s="603">
        <f t="shared" si="85"/>
        <v>0</v>
      </c>
      <c r="T429" s="599">
        <f t="shared" si="86"/>
        <v>0</v>
      </c>
    </row>
    <row r="430" spans="1:20" ht="15">
      <c r="A430" s="1213"/>
      <c r="B430" s="564">
        <v>6</v>
      </c>
      <c r="C430" s="565"/>
      <c r="D430" s="564"/>
      <c r="E430" s="696"/>
      <c r="F430" s="566"/>
      <c r="G430" s="566"/>
      <c r="H430" s="566"/>
      <c r="I430" s="567"/>
      <c r="J430" s="568"/>
      <c r="K430" s="571"/>
      <c r="L430" s="571"/>
      <c r="M430" s="571"/>
      <c r="N430" s="571"/>
      <c r="O430" s="571"/>
      <c r="P430" s="571"/>
      <c r="Q430" s="572"/>
      <c r="S430" s="603">
        <f t="shared" si="85"/>
        <v>0</v>
      </c>
      <c r="T430" s="599">
        <f t="shared" si="86"/>
        <v>0</v>
      </c>
    </row>
    <row r="431" spans="1:20" ht="15">
      <c r="A431" s="1213"/>
      <c r="B431" s="564">
        <v>7</v>
      </c>
      <c r="C431" s="565"/>
      <c r="D431" s="564"/>
      <c r="E431" s="696"/>
      <c r="F431" s="566"/>
      <c r="G431" s="566"/>
      <c r="H431" s="566"/>
      <c r="I431" s="567"/>
      <c r="J431" s="568"/>
      <c r="K431" s="571"/>
      <c r="L431" s="571"/>
      <c r="M431" s="571"/>
      <c r="N431" s="571"/>
      <c r="O431" s="571"/>
      <c r="P431" s="571"/>
      <c r="Q431" s="572"/>
      <c r="S431" s="603">
        <f t="shared" si="85"/>
        <v>0</v>
      </c>
      <c r="T431" s="599">
        <f t="shared" si="86"/>
        <v>0</v>
      </c>
    </row>
    <row r="432" spans="1:20" ht="15">
      <c r="A432" s="1213"/>
      <c r="B432" s="564">
        <v>8</v>
      </c>
      <c r="C432" s="565"/>
      <c r="D432" s="564"/>
      <c r="E432" s="696"/>
      <c r="F432" s="566"/>
      <c r="G432" s="566"/>
      <c r="H432" s="566"/>
      <c r="I432" s="567"/>
      <c r="J432" s="568"/>
      <c r="K432" s="571"/>
      <c r="L432" s="571"/>
      <c r="M432" s="571"/>
      <c r="N432" s="571"/>
      <c r="O432" s="571"/>
      <c r="P432" s="571"/>
      <c r="Q432" s="572"/>
      <c r="S432" s="603">
        <f t="shared" si="85"/>
        <v>0</v>
      </c>
      <c r="T432" s="599">
        <f t="shared" si="86"/>
        <v>0</v>
      </c>
    </row>
    <row r="433" spans="1:20" ht="15">
      <c r="A433" s="1213"/>
      <c r="B433" s="564">
        <v>9</v>
      </c>
      <c r="C433" s="565"/>
      <c r="D433" s="564"/>
      <c r="E433" s="696"/>
      <c r="F433" s="566"/>
      <c r="G433" s="566"/>
      <c r="H433" s="566"/>
      <c r="I433" s="567"/>
      <c r="J433" s="568"/>
      <c r="K433" s="571"/>
      <c r="L433" s="571"/>
      <c r="M433" s="571"/>
      <c r="N433" s="571"/>
      <c r="O433" s="571"/>
      <c r="P433" s="571"/>
      <c r="Q433" s="572"/>
      <c r="S433" s="603">
        <f t="shared" si="85"/>
        <v>0</v>
      </c>
      <c r="T433" s="599">
        <f t="shared" si="86"/>
        <v>0</v>
      </c>
    </row>
    <row r="434" spans="1:20" ht="15">
      <c r="A434" s="1213"/>
      <c r="B434" s="564">
        <v>10</v>
      </c>
      <c r="C434" s="565"/>
      <c r="D434" s="564"/>
      <c r="E434" s="696"/>
      <c r="F434" s="566"/>
      <c r="G434" s="566"/>
      <c r="H434" s="566"/>
      <c r="I434" s="567"/>
      <c r="J434" s="568"/>
      <c r="K434" s="571"/>
      <c r="L434" s="571"/>
      <c r="M434" s="571"/>
      <c r="N434" s="571"/>
      <c r="O434" s="571"/>
      <c r="P434" s="571"/>
      <c r="Q434" s="572"/>
      <c r="S434" s="603">
        <f t="shared" si="85"/>
        <v>0</v>
      </c>
      <c r="T434" s="599">
        <f t="shared" si="86"/>
        <v>0</v>
      </c>
    </row>
    <row r="435" spans="1:20" ht="15">
      <c r="A435" s="1213"/>
      <c r="B435" s="564">
        <v>11</v>
      </c>
      <c r="C435" s="565"/>
      <c r="D435" s="564"/>
      <c r="E435" s="696"/>
      <c r="F435" s="566"/>
      <c r="G435" s="566"/>
      <c r="H435" s="566"/>
      <c r="I435" s="567"/>
      <c r="J435" s="568"/>
      <c r="K435" s="571"/>
      <c r="L435" s="571"/>
      <c r="M435" s="571"/>
      <c r="N435" s="571"/>
      <c r="O435" s="571"/>
      <c r="P435" s="571"/>
      <c r="Q435" s="572"/>
      <c r="S435" s="603">
        <f t="shared" si="85"/>
        <v>0</v>
      </c>
      <c r="T435" s="599">
        <f t="shared" si="86"/>
        <v>0</v>
      </c>
    </row>
    <row r="436" spans="1:20" ht="15">
      <c r="A436" s="1213"/>
      <c r="B436" s="564">
        <v>12</v>
      </c>
      <c r="C436" s="565"/>
      <c r="D436" s="564"/>
      <c r="E436" s="696"/>
      <c r="F436" s="566"/>
      <c r="G436" s="566"/>
      <c r="H436" s="566"/>
      <c r="I436" s="567"/>
      <c r="J436" s="568"/>
      <c r="K436" s="571"/>
      <c r="L436" s="571"/>
      <c r="M436" s="571"/>
      <c r="N436" s="571"/>
      <c r="O436" s="571"/>
      <c r="P436" s="571"/>
      <c r="Q436" s="572"/>
      <c r="S436" s="603">
        <f t="shared" si="85"/>
        <v>0</v>
      </c>
      <c r="T436" s="599">
        <f t="shared" si="86"/>
        <v>0</v>
      </c>
    </row>
    <row r="437" spans="1:20" ht="15">
      <c r="A437" s="1213"/>
      <c r="B437" s="564">
        <v>13</v>
      </c>
      <c r="C437" s="565"/>
      <c r="D437" s="564"/>
      <c r="E437" s="696"/>
      <c r="F437" s="566"/>
      <c r="G437" s="566"/>
      <c r="H437" s="566"/>
      <c r="I437" s="567"/>
      <c r="J437" s="568"/>
      <c r="K437" s="571"/>
      <c r="L437" s="571"/>
      <c r="M437" s="571"/>
      <c r="N437" s="571"/>
      <c r="O437" s="571"/>
      <c r="P437" s="571"/>
      <c r="Q437" s="572"/>
      <c r="S437" s="603">
        <f t="shared" si="85"/>
        <v>0</v>
      </c>
      <c r="T437" s="599">
        <f t="shared" si="86"/>
        <v>0</v>
      </c>
    </row>
    <row r="438" spans="1:20" ht="15">
      <c r="A438" s="1213"/>
      <c r="B438" s="564">
        <v>14</v>
      </c>
      <c r="C438" s="565"/>
      <c r="D438" s="564"/>
      <c r="E438" s="696"/>
      <c r="F438" s="566"/>
      <c r="G438" s="566"/>
      <c r="H438" s="566"/>
      <c r="I438" s="567"/>
      <c r="J438" s="568"/>
      <c r="K438" s="571"/>
      <c r="L438" s="571"/>
      <c r="M438" s="571"/>
      <c r="N438" s="571"/>
      <c r="O438" s="571"/>
      <c r="P438" s="571"/>
      <c r="Q438" s="572"/>
      <c r="S438" s="603">
        <f t="shared" si="85"/>
        <v>0</v>
      </c>
      <c r="T438" s="599">
        <f t="shared" si="86"/>
        <v>0</v>
      </c>
    </row>
    <row r="439" spans="1:20" ht="15">
      <c r="A439" s="1213"/>
      <c r="B439" s="564">
        <v>15</v>
      </c>
      <c r="C439" s="565"/>
      <c r="D439" s="564"/>
      <c r="E439" s="696"/>
      <c r="F439" s="566"/>
      <c r="G439" s="566"/>
      <c r="H439" s="566"/>
      <c r="I439" s="567"/>
      <c r="J439" s="568"/>
      <c r="K439" s="571"/>
      <c r="L439" s="571"/>
      <c r="M439" s="571"/>
      <c r="N439" s="571"/>
      <c r="O439" s="571"/>
      <c r="P439" s="571"/>
      <c r="Q439" s="572"/>
      <c r="S439" s="603">
        <f t="shared" si="85"/>
        <v>0</v>
      </c>
      <c r="T439" s="599">
        <f t="shared" si="86"/>
        <v>0</v>
      </c>
    </row>
    <row r="440" spans="1:20" ht="15">
      <c r="A440" s="1213"/>
      <c r="B440" s="564">
        <v>16</v>
      </c>
      <c r="C440" s="565"/>
      <c r="D440" s="564"/>
      <c r="E440" s="696"/>
      <c r="F440" s="566"/>
      <c r="G440" s="566"/>
      <c r="H440" s="566"/>
      <c r="I440" s="567"/>
      <c r="J440" s="568"/>
      <c r="K440" s="571"/>
      <c r="L440" s="571"/>
      <c r="M440" s="571"/>
      <c r="N440" s="571"/>
      <c r="O440" s="571"/>
      <c r="P440" s="571"/>
      <c r="Q440" s="572"/>
      <c r="S440" s="603">
        <f t="shared" si="85"/>
        <v>0</v>
      </c>
      <c r="T440" s="599">
        <f t="shared" si="86"/>
        <v>0</v>
      </c>
    </row>
    <row r="441" spans="1:20" ht="15">
      <c r="A441" s="1213"/>
      <c r="B441" s="564">
        <v>17</v>
      </c>
      <c r="C441" s="565"/>
      <c r="D441" s="564"/>
      <c r="E441" s="696"/>
      <c r="F441" s="566"/>
      <c r="G441" s="566"/>
      <c r="H441" s="566"/>
      <c r="I441" s="567"/>
      <c r="J441" s="567"/>
      <c r="K441" s="567"/>
      <c r="L441" s="567"/>
      <c r="M441" s="567"/>
      <c r="N441" s="567"/>
      <c r="O441" s="567"/>
      <c r="P441" s="567"/>
      <c r="Q441" s="692"/>
      <c r="S441" s="603">
        <f t="shared" si="85"/>
        <v>0</v>
      </c>
      <c r="T441" s="599">
        <f t="shared" si="86"/>
        <v>0</v>
      </c>
    </row>
    <row r="442" spans="1:20" ht="15">
      <c r="A442" s="1213"/>
      <c r="B442" s="564">
        <v>18</v>
      </c>
      <c r="C442" s="565"/>
      <c r="D442" s="564"/>
      <c r="E442" s="696"/>
      <c r="F442" s="566"/>
      <c r="G442" s="566"/>
      <c r="H442" s="566"/>
      <c r="I442" s="567"/>
      <c r="J442" s="567"/>
      <c r="K442" s="567"/>
      <c r="L442" s="567"/>
      <c r="M442" s="567"/>
      <c r="N442" s="567"/>
      <c r="O442" s="567"/>
      <c r="P442" s="567"/>
      <c r="Q442" s="692"/>
      <c r="S442" s="603">
        <f t="shared" si="85"/>
        <v>0</v>
      </c>
      <c r="T442" s="599">
        <f t="shared" si="86"/>
        <v>0</v>
      </c>
    </row>
    <row r="443" spans="1:20" ht="15">
      <c r="A443" s="1213"/>
      <c r="B443" s="564">
        <v>19</v>
      </c>
      <c r="C443" s="565"/>
      <c r="D443" s="564"/>
      <c r="E443" s="696"/>
      <c r="F443" s="566"/>
      <c r="G443" s="566"/>
      <c r="H443" s="566"/>
      <c r="I443" s="567"/>
      <c r="J443" s="567"/>
      <c r="K443" s="567"/>
      <c r="L443" s="567"/>
      <c r="M443" s="567"/>
      <c r="N443" s="567"/>
      <c r="O443" s="567"/>
      <c r="P443" s="567"/>
      <c r="Q443" s="692"/>
      <c r="S443" s="603">
        <f t="shared" si="85"/>
        <v>0</v>
      </c>
      <c r="T443" s="599">
        <f t="shared" si="86"/>
        <v>0</v>
      </c>
    </row>
    <row r="444" spans="1:20" ht="15">
      <c r="A444" s="1213"/>
      <c r="B444" s="564">
        <v>20</v>
      </c>
      <c r="C444" s="565"/>
      <c r="D444" s="564"/>
      <c r="E444" s="696"/>
      <c r="F444" s="566"/>
      <c r="G444" s="566"/>
      <c r="H444" s="566"/>
      <c r="I444" s="567"/>
      <c r="J444" s="567"/>
      <c r="K444" s="567"/>
      <c r="L444" s="567"/>
      <c r="M444" s="567"/>
      <c r="N444" s="567"/>
      <c r="O444" s="567"/>
      <c r="P444" s="567"/>
      <c r="Q444" s="692"/>
      <c r="S444" s="603">
        <f t="shared" si="85"/>
        <v>0</v>
      </c>
      <c r="T444" s="599">
        <f t="shared" si="86"/>
        <v>0</v>
      </c>
    </row>
    <row r="445" spans="1:20" ht="15">
      <c r="A445" s="1213"/>
      <c r="B445" s="564">
        <v>21</v>
      </c>
      <c r="C445" s="565"/>
      <c r="D445" s="564"/>
      <c r="E445" s="696"/>
      <c r="F445" s="566"/>
      <c r="G445" s="566"/>
      <c r="H445" s="566"/>
      <c r="I445" s="567"/>
      <c r="J445" s="567"/>
      <c r="K445" s="567"/>
      <c r="L445" s="567"/>
      <c r="M445" s="567"/>
      <c r="N445" s="567"/>
      <c r="O445" s="567"/>
      <c r="P445" s="567"/>
      <c r="Q445" s="692"/>
      <c r="S445" s="603">
        <f t="shared" si="85"/>
        <v>0</v>
      </c>
      <c r="T445" s="599">
        <f t="shared" si="86"/>
        <v>0</v>
      </c>
    </row>
    <row r="446" spans="1:20" ht="15">
      <c r="A446" s="1213"/>
      <c r="B446" s="564">
        <v>22</v>
      </c>
      <c r="C446" s="565"/>
      <c r="D446" s="564"/>
      <c r="E446" s="696"/>
      <c r="F446" s="566"/>
      <c r="G446" s="566"/>
      <c r="H446" s="566"/>
      <c r="I446" s="567"/>
      <c r="J446" s="567"/>
      <c r="K446" s="567"/>
      <c r="L446" s="567"/>
      <c r="M446" s="567"/>
      <c r="N446" s="567"/>
      <c r="O446" s="567"/>
      <c r="P446" s="567"/>
      <c r="Q446" s="692"/>
      <c r="S446" s="603">
        <f t="shared" si="85"/>
        <v>0</v>
      </c>
      <c r="T446" s="599">
        <f t="shared" si="86"/>
        <v>0</v>
      </c>
    </row>
    <row r="447" spans="1:20" ht="15">
      <c r="A447" s="1213"/>
      <c r="B447" s="564">
        <v>23</v>
      </c>
      <c r="C447" s="565"/>
      <c r="D447" s="564"/>
      <c r="E447" s="696"/>
      <c r="F447" s="566"/>
      <c r="G447" s="566"/>
      <c r="H447" s="566"/>
      <c r="I447" s="567"/>
      <c r="J447" s="567"/>
      <c r="K447" s="567"/>
      <c r="L447" s="567"/>
      <c r="M447" s="567"/>
      <c r="N447" s="567"/>
      <c r="O447" s="567"/>
      <c r="P447" s="567"/>
      <c r="Q447" s="692"/>
      <c r="S447" s="603">
        <f t="shared" si="85"/>
        <v>0</v>
      </c>
      <c r="T447" s="599">
        <f t="shared" si="86"/>
        <v>0</v>
      </c>
    </row>
    <row r="448" spans="1:20" ht="15">
      <c r="A448" s="1213"/>
      <c r="B448" s="564">
        <v>24</v>
      </c>
      <c r="C448" s="565"/>
      <c r="D448" s="564"/>
      <c r="E448" s="696"/>
      <c r="F448" s="566"/>
      <c r="G448" s="566"/>
      <c r="H448" s="566"/>
      <c r="I448" s="567"/>
      <c r="J448" s="567"/>
      <c r="K448" s="567"/>
      <c r="L448" s="567"/>
      <c r="M448" s="567"/>
      <c r="N448" s="567"/>
      <c r="O448" s="567"/>
      <c r="P448" s="567"/>
      <c r="Q448" s="692"/>
      <c r="S448" s="603">
        <f t="shared" si="85"/>
        <v>0</v>
      </c>
      <c r="T448" s="599">
        <f t="shared" si="86"/>
        <v>0</v>
      </c>
    </row>
    <row r="449" spans="1:20" ht="15">
      <c r="A449" s="1213"/>
      <c r="B449" s="564">
        <v>25</v>
      </c>
      <c r="C449" s="565"/>
      <c r="D449" s="564"/>
      <c r="E449" s="696"/>
      <c r="F449" s="566"/>
      <c r="G449" s="566"/>
      <c r="H449" s="566"/>
      <c r="I449" s="567"/>
      <c r="J449" s="567"/>
      <c r="K449" s="567"/>
      <c r="L449" s="567"/>
      <c r="M449" s="567"/>
      <c r="N449" s="567"/>
      <c r="O449" s="567"/>
      <c r="P449" s="567"/>
      <c r="Q449" s="692"/>
      <c r="S449" s="603">
        <f t="shared" si="85"/>
        <v>0</v>
      </c>
      <c r="T449" s="599">
        <f t="shared" si="86"/>
        <v>0</v>
      </c>
    </row>
    <row r="450" spans="1:20" ht="15">
      <c r="A450" s="1213"/>
      <c r="B450" s="564">
        <v>26</v>
      </c>
      <c r="C450" s="565"/>
      <c r="D450" s="564"/>
      <c r="E450" s="696"/>
      <c r="F450" s="695"/>
      <c r="G450" s="695"/>
      <c r="H450" s="695"/>
      <c r="I450" s="693"/>
      <c r="J450" s="693"/>
      <c r="K450" s="693"/>
      <c r="L450" s="693"/>
      <c r="M450" s="693"/>
      <c r="N450" s="693"/>
      <c r="O450" s="693"/>
      <c r="P450" s="693"/>
      <c r="Q450" s="694"/>
      <c r="S450" s="603">
        <f t="shared" si="85"/>
        <v>0</v>
      </c>
      <c r="T450" s="599">
        <f t="shared" si="86"/>
        <v>0</v>
      </c>
    </row>
    <row r="451" spans="1:20" ht="15">
      <c r="A451" s="1213"/>
      <c r="B451" s="564">
        <v>27</v>
      </c>
      <c r="C451" s="565"/>
      <c r="D451" s="564"/>
      <c r="E451" s="697"/>
      <c r="F451" s="695"/>
      <c r="G451" s="695"/>
      <c r="H451" s="695"/>
      <c r="I451" s="693"/>
      <c r="J451" s="693"/>
      <c r="K451" s="693"/>
      <c r="L451" s="693"/>
      <c r="M451" s="693"/>
      <c r="N451" s="693"/>
      <c r="O451" s="693"/>
      <c r="P451" s="693"/>
      <c r="Q451" s="694"/>
      <c r="S451" s="603">
        <f t="shared" si="85"/>
        <v>0</v>
      </c>
      <c r="T451" s="599">
        <f t="shared" si="86"/>
        <v>0</v>
      </c>
    </row>
    <row r="452" spans="1:20" ht="15">
      <c r="A452" s="1213"/>
      <c r="B452" s="564">
        <v>28</v>
      </c>
      <c r="C452" s="565"/>
      <c r="D452" s="564"/>
      <c r="E452" s="697"/>
      <c r="F452" s="695"/>
      <c r="G452" s="695"/>
      <c r="H452" s="695"/>
      <c r="I452" s="693"/>
      <c r="J452" s="693"/>
      <c r="K452" s="693"/>
      <c r="L452" s="693"/>
      <c r="M452" s="693"/>
      <c r="N452" s="693"/>
      <c r="O452" s="693"/>
      <c r="P452" s="693"/>
      <c r="Q452" s="694"/>
      <c r="S452" s="603">
        <f t="shared" si="85"/>
        <v>0</v>
      </c>
      <c r="T452" s="599">
        <f t="shared" si="86"/>
        <v>0</v>
      </c>
    </row>
    <row r="453" spans="1:20" ht="15">
      <c r="A453" s="1213"/>
      <c r="B453" s="564">
        <v>29</v>
      </c>
      <c r="C453" s="565"/>
      <c r="D453" s="564"/>
      <c r="E453" s="697"/>
      <c r="F453" s="695"/>
      <c r="G453" s="695"/>
      <c r="H453" s="695"/>
      <c r="I453" s="693"/>
      <c r="J453" s="693"/>
      <c r="K453" s="693"/>
      <c r="L453" s="693"/>
      <c r="M453" s="693"/>
      <c r="N453" s="693"/>
      <c r="O453" s="693"/>
      <c r="P453" s="693"/>
      <c r="Q453" s="694"/>
      <c r="S453" s="603">
        <f t="shared" si="85"/>
        <v>0</v>
      </c>
      <c r="T453" s="599">
        <f t="shared" si="86"/>
        <v>0</v>
      </c>
    </row>
    <row r="454" spans="1:20" ht="15">
      <c r="A454" s="1213"/>
      <c r="B454" s="564">
        <v>30</v>
      </c>
      <c r="C454" s="565"/>
      <c r="D454" s="564"/>
      <c r="E454" s="697"/>
      <c r="F454" s="695"/>
      <c r="G454" s="695"/>
      <c r="H454" s="695"/>
      <c r="I454" s="693"/>
      <c r="J454" s="693"/>
      <c r="K454" s="693"/>
      <c r="L454" s="693"/>
      <c r="M454" s="693"/>
      <c r="N454" s="693"/>
      <c r="O454" s="693"/>
      <c r="P454" s="693"/>
      <c r="Q454" s="694"/>
      <c r="S454" s="603">
        <f t="shared" si="85"/>
        <v>0</v>
      </c>
      <c r="T454" s="599">
        <f t="shared" si="86"/>
        <v>0</v>
      </c>
    </row>
    <row r="455" spans="1:20" ht="15">
      <c r="A455" s="1213"/>
      <c r="B455" s="564">
        <v>31</v>
      </c>
      <c r="C455" s="565"/>
      <c r="D455" s="564"/>
      <c r="E455" s="696"/>
      <c r="F455" s="566"/>
      <c r="G455" s="566"/>
      <c r="H455" s="566"/>
      <c r="I455" s="567"/>
      <c r="J455" s="567"/>
      <c r="K455" s="567"/>
      <c r="L455" s="567"/>
      <c r="M455" s="567"/>
      <c r="N455" s="567"/>
      <c r="O455" s="567"/>
      <c r="P455" s="567"/>
      <c r="Q455" s="692"/>
      <c r="S455" s="603">
        <f t="shared" si="85"/>
        <v>0</v>
      </c>
      <c r="T455" s="599">
        <f t="shared" si="86"/>
        <v>0</v>
      </c>
    </row>
    <row r="456" spans="1:20" ht="15">
      <c r="A456" s="1213"/>
      <c r="B456" s="564">
        <v>32</v>
      </c>
      <c r="C456" s="565"/>
      <c r="D456" s="564"/>
      <c r="E456" s="696"/>
      <c r="F456" s="566"/>
      <c r="G456" s="566"/>
      <c r="H456" s="566"/>
      <c r="I456" s="567"/>
      <c r="J456" s="567"/>
      <c r="K456" s="567"/>
      <c r="L456" s="567"/>
      <c r="M456" s="567"/>
      <c r="N456" s="567"/>
      <c r="O456" s="567"/>
      <c r="P456" s="567"/>
      <c r="Q456" s="692"/>
      <c r="S456" s="603">
        <f t="shared" si="85"/>
        <v>0</v>
      </c>
      <c r="T456" s="599">
        <f t="shared" si="86"/>
        <v>0</v>
      </c>
    </row>
    <row r="457" spans="1:20" ht="15">
      <c r="A457" s="1213"/>
      <c r="B457" s="564">
        <v>33</v>
      </c>
      <c r="C457" s="565"/>
      <c r="D457" s="564"/>
      <c r="E457" s="696"/>
      <c r="F457" s="566"/>
      <c r="G457" s="566"/>
      <c r="H457" s="566"/>
      <c r="I457" s="567"/>
      <c r="J457" s="567"/>
      <c r="K457" s="567"/>
      <c r="L457" s="567"/>
      <c r="M457" s="567"/>
      <c r="N457" s="567"/>
      <c r="O457" s="567"/>
      <c r="P457" s="567"/>
      <c r="Q457" s="692"/>
      <c r="S457" s="603">
        <f t="shared" si="85"/>
        <v>0</v>
      </c>
      <c r="T457" s="599">
        <f t="shared" si="86"/>
        <v>0</v>
      </c>
    </row>
    <row r="458" spans="1:20" ht="15">
      <c r="A458" s="1213"/>
      <c r="B458" s="564">
        <v>34</v>
      </c>
      <c r="C458" s="565"/>
      <c r="D458" s="564"/>
      <c r="E458" s="696"/>
      <c r="F458" s="566"/>
      <c r="G458" s="566"/>
      <c r="H458" s="566"/>
      <c r="I458" s="567"/>
      <c r="J458" s="567"/>
      <c r="K458" s="567"/>
      <c r="L458" s="567"/>
      <c r="M458" s="567"/>
      <c r="N458" s="567"/>
      <c r="O458" s="567"/>
      <c r="P458" s="567"/>
      <c r="Q458" s="692"/>
      <c r="S458" s="603">
        <f t="shared" si="85"/>
        <v>0</v>
      </c>
      <c r="T458" s="599">
        <f t="shared" si="86"/>
        <v>0</v>
      </c>
    </row>
    <row r="459" spans="1:20" ht="15">
      <c r="A459" s="1213"/>
      <c r="B459" s="564">
        <v>35</v>
      </c>
      <c r="C459" s="565"/>
      <c r="D459" s="564"/>
      <c r="E459" s="696"/>
      <c r="F459" s="566"/>
      <c r="G459" s="566"/>
      <c r="H459" s="566"/>
      <c r="I459" s="567"/>
      <c r="J459" s="567"/>
      <c r="K459" s="567"/>
      <c r="L459" s="567"/>
      <c r="M459" s="567"/>
      <c r="N459" s="567"/>
      <c r="O459" s="567"/>
      <c r="P459" s="567"/>
      <c r="Q459" s="692"/>
      <c r="S459" s="603">
        <f t="shared" si="85"/>
        <v>0</v>
      </c>
      <c r="T459" s="599">
        <f t="shared" si="86"/>
        <v>0</v>
      </c>
    </row>
    <row r="460" spans="1:20" ht="15">
      <c r="A460" s="1213"/>
      <c r="B460" s="564">
        <v>36</v>
      </c>
      <c r="C460" s="565"/>
      <c r="D460" s="564"/>
      <c r="E460" s="696"/>
      <c r="F460" s="566"/>
      <c r="G460" s="566"/>
      <c r="H460" s="566"/>
      <c r="I460" s="567"/>
      <c r="J460" s="567"/>
      <c r="K460" s="567"/>
      <c r="L460" s="567"/>
      <c r="M460" s="567"/>
      <c r="N460" s="567"/>
      <c r="O460" s="567"/>
      <c r="P460" s="567"/>
      <c r="Q460" s="692"/>
      <c r="S460" s="603">
        <f t="shared" si="85"/>
        <v>0</v>
      </c>
      <c r="T460" s="599">
        <f t="shared" si="86"/>
        <v>0</v>
      </c>
    </row>
    <row r="461" spans="1:20" ht="15">
      <c r="A461" s="1213"/>
      <c r="B461" s="564">
        <v>37</v>
      </c>
      <c r="C461" s="565"/>
      <c r="D461" s="564"/>
      <c r="E461" s="696"/>
      <c r="F461" s="566"/>
      <c r="G461" s="566"/>
      <c r="H461" s="566"/>
      <c r="I461" s="567"/>
      <c r="J461" s="567"/>
      <c r="K461" s="567"/>
      <c r="L461" s="567"/>
      <c r="M461" s="567"/>
      <c r="N461" s="567"/>
      <c r="O461" s="567"/>
      <c r="P461" s="567"/>
      <c r="Q461" s="692"/>
      <c r="S461" s="603">
        <f t="shared" si="85"/>
        <v>0</v>
      </c>
      <c r="T461" s="599">
        <f t="shared" si="86"/>
        <v>0</v>
      </c>
    </row>
    <row r="462" spans="1:20" ht="15">
      <c r="A462" s="1213"/>
      <c r="B462" s="564">
        <v>38</v>
      </c>
      <c r="C462" s="565"/>
      <c r="D462" s="564"/>
      <c r="E462" s="696"/>
      <c r="F462" s="566"/>
      <c r="G462" s="566"/>
      <c r="H462" s="566"/>
      <c r="I462" s="567"/>
      <c r="J462" s="567"/>
      <c r="K462" s="567"/>
      <c r="L462" s="567"/>
      <c r="M462" s="567"/>
      <c r="N462" s="567"/>
      <c r="O462" s="567"/>
      <c r="P462" s="567"/>
      <c r="Q462" s="692"/>
      <c r="S462" s="603">
        <f t="shared" si="85"/>
        <v>0</v>
      </c>
      <c r="T462" s="599">
        <f t="shared" si="86"/>
        <v>0</v>
      </c>
    </row>
    <row r="463" spans="1:20" ht="15">
      <c r="A463" s="1213"/>
      <c r="B463" s="564">
        <v>39</v>
      </c>
      <c r="C463" s="565"/>
      <c r="D463" s="564"/>
      <c r="E463" s="696"/>
      <c r="F463" s="566"/>
      <c r="G463" s="566"/>
      <c r="H463" s="566"/>
      <c r="I463" s="567"/>
      <c r="J463" s="567"/>
      <c r="K463" s="567"/>
      <c r="L463" s="567"/>
      <c r="M463" s="567"/>
      <c r="N463" s="567"/>
      <c r="O463" s="567"/>
      <c r="P463" s="567"/>
      <c r="Q463" s="692"/>
      <c r="S463" s="603">
        <f t="shared" si="85"/>
        <v>0</v>
      </c>
      <c r="T463" s="599">
        <f t="shared" si="86"/>
        <v>0</v>
      </c>
    </row>
    <row r="464" spans="1:20" ht="15.75" thickBot="1">
      <c r="A464" s="1213"/>
      <c r="B464" s="564">
        <v>40</v>
      </c>
      <c r="C464" s="565"/>
      <c r="D464" s="564"/>
      <c r="E464" s="696"/>
      <c r="F464" s="566"/>
      <c r="G464" s="566"/>
      <c r="H464" s="566"/>
      <c r="I464" s="567"/>
      <c r="J464" s="567"/>
      <c r="K464" s="567"/>
      <c r="L464" s="567"/>
      <c r="M464" s="567"/>
      <c r="N464" s="567"/>
      <c r="O464" s="567"/>
      <c r="P464" s="567"/>
      <c r="Q464" s="692"/>
      <c r="S464" s="604">
        <f t="shared" si="85"/>
        <v>0</v>
      </c>
      <c r="T464" s="600">
        <f t="shared" si="86"/>
        <v>0</v>
      </c>
    </row>
    <row r="465" spans="1:20" ht="15.75" thickBot="1">
      <c r="A465" s="1213"/>
      <c r="B465" s="576"/>
      <c r="C465" s="576"/>
      <c r="D465" s="576"/>
      <c r="E465" s="576"/>
      <c r="F465" s="576"/>
      <c r="G465" s="576"/>
      <c r="H465" s="576"/>
      <c r="I465" s="576"/>
      <c r="J465" s="576"/>
      <c r="K465" s="576"/>
      <c r="L465" s="576"/>
      <c r="M465" s="576"/>
      <c r="N465" s="576"/>
      <c r="O465" s="576"/>
      <c r="P465" s="576"/>
      <c r="Q465" s="576"/>
    </row>
    <row r="466" spans="1:20" ht="15">
      <c r="A466" s="1213"/>
      <c r="B466" s="613"/>
      <c r="C466" s="614"/>
      <c r="D466" s="617" t="s">
        <v>968</v>
      </c>
      <c r="E466" s="577">
        <f>SUMPRODUCT(T425:T464,E425:E464)</f>
        <v>3000</v>
      </c>
      <c r="F466" s="578"/>
      <c r="G466" s="578"/>
      <c r="H466" s="578"/>
      <c r="I466" s="579"/>
      <c r="J466" s="580"/>
      <c r="K466" s="581"/>
      <c r="L466" s="581"/>
      <c r="M466" s="581"/>
      <c r="N466" s="581"/>
      <c r="O466" s="581"/>
      <c r="P466" s="581"/>
      <c r="Q466" s="582"/>
      <c r="S466" s="606">
        <f>SUM(S425:S464)</f>
        <v>0</v>
      </c>
      <c r="T466" s="606">
        <f>SUM(T425:T464)</f>
        <v>1</v>
      </c>
    </row>
    <row r="467" spans="1:20" ht="15.75" thickBot="1">
      <c r="A467" s="1213"/>
      <c r="B467" s="615"/>
      <c r="C467" s="616"/>
      <c r="D467" s="618" t="s">
        <v>969</v>
      </c>
      <c r="E467" s="583"/>
      <c r="F467" s="584">
        <f>IF($T466=0,0,(SUMPRODUCT($T425:$T464,F425:F464,$E425:$E464)/$E466))</f>
        <v>10</v>
      </c>
      <c r="G467" s="584">
        <f t="shared" ref="G467" si="87">IF($T466=0,0,(SUMPRODUCT($T425:$T464,G425:G464,$E425:$E464)/$E466))</f>
        <v>10</v>
      </c>
      <c r="H467" s="584">
        <f t="shared" ref="H467" si="88">IF($T466=0,0,(SUMPRODUCT($T425:$T464,H425:H464,$E425:$E464)/$E466))</f>
        <v>10</v>
      </c>
      <c r="I467" s="585">
        <f t="shared" ref="I467:Q467" si="89">IF($T466=0,0,(SUMPRODUCT($T425:$T464,I425:I464,$E425:$E464)/$E466))</f>
        <v>1.24</v>
      </c>
      <c r="J467" s="586">
        <f t="shared" si="89"/>
        <v>1.24</v>
      </c>
      <c r="K467" s="587">
        <f t="shared" si="89"/>
        <v>0.5</v>
      </c>
      <c r="L467" s="587">
        <f t="shared" si="89"/>
        <v>0.5</v>
      </c>
      <c r="M467" s="587">
        <f t="shared" si="89"/>
        <v>0</v>
      </c>
      <c r="N467" s="587">
        <f t="shared" si="89"/>
        <v>0</v>
      </c>
      <c r="O467" s="587">
        <f t="shared" si="89"/>
        <v>0</v>
      </c>
      <c r="P467" s="587">
        <f t="shared" si="89"/>
        <v>0</v>
      </c>
      <c r="Q467" s="588">
        <f t="shared" si="89"/>
        <v>0</v>
      </c>
    </row>
    <row r="468" spans="1:20" ht="15">
      <c r="A468" s="1213"/>
      <c r="B468" s="613"/>
      <c r="C468" s="614"/>
      <c r="D468" s="617" t="s">
        <v>970</v>
      </c>
      <c r="E468" s="577">
        <f>SUMPRODUCT(S425:S464,E425:E464)</f>
        <v>0</v>
      </c>
      <c r="F468" s="578"/>
      <c r="G468" s="578"/>
      <c r="H468" s="578"/>
      <c r="I468" s="579"/>
      <c r="J468" s="589"/>
      <c r="K468" s="581"/>
      <c r="L468" s="581"/>
      <c r="M468" s="581"/>
      <c r="N468" s="581"/>
      <c r="O468" s="581"/>
      <c r="P468" s="581"/>
      <c r="Q468" s="582"/>
    </row>
    <row r="469" spans="1:20" ht="15.75" thickBot="1">
      <c r="A469" s="1213"/>
      <c r="B469" s="615"/>
      <c r="C469" s="616"/>
      <c r="D469" s="618" t="s">
        <v>971</v>
      </c>
      <c r="E469" s="583"/>
      <c r="F469" s="584">
        <f>IF($S466=0,0,(SUMPRODUCT($S425:$S464,F425:F464,$E425:$E464)/$E468))</f>
        <v>0</v>
      </c>
      <c r="G469" s="584">
        <f t="shared" ref="G469" si="90">IF($S466=0,0,(SUMPRODUCT($S425:$S464,G425:G464,$E425:$E464)/$E468))</f>
        <v>0</v>
      </c>
      <c r="H469" s="584">
        <f t="shared" ref="H469" si="91">IF($S466=0,0,(SUMPRODUCT($S425:$S464,H425:H464,$E425:$E464)/$E468))</f>
        <v>0</v>
      </c>
      <c r="I469" s="585">
        <f t="shared" ref="I469:Q469" si="92">IF($S466=0,0,(SUMPRODUCT($S425:$S464,I425:I464,$E425:$E464)/$E468))</f>
        <v>0</v>
      </c>
      <c r="J469" s="586">
        <f t="shared" si="92"/>
        <v>0</v>
      </c>
      <c r="K469" s="587">
        <f t="shared" si="92"/>
        <v>0</v>
      </c>
      <c r="L469" s="587">
        <f t="shared" si="92"/>
        <v>0</v>
      </c>
      <c r="M469" s="587">
        <f t="shared" si="92"/>
        <v>0</v>
      </c>
      <c r="N469" s="587">
        <f t="shared" si="92"/>
        <v>0</v>
      </c>
      <c r="O469" s="587">
        <f t="shared" si="92"/>
        <v>0</v>
      </c>
      <c r="P469" s="587">
        <f t="shared" si="92"/>
        <v>0</v>
      </c>
      <c r="Q469" s="588">
        <f t="shared" si="92"/>
        <v>0</v>
      </c>
    </row>
    <row r="470" spans="1:20" ht="15">
      <c r="A470" s="1213"/>
      <c r="B470" s="613"/>
      <c r="C470" s="614"/>
      <c r="D470" s="617" t="s">
        <v>972</v>
      </c>
      <c r="E470" s="577">
        <f>SUM(E425:E464)</f>
        <v>3000</v>
      </c>
      <c r="F470" s="578"/>
      <c r="G470" s="578"/>
      <c r="H470" s="578"/>
      <c r="I470" s="579"/>
      <c r="J470" s="580"/>
      <c r="K470" s="581"/>
      <c r="L470" s="581"/>
      <c r="M470" s="581"/>
      <c r="N470" s="581"/>
      <c r="O470" s="581"/>
      <c r="P470" s="581"/>
      <c r="Q470" s="582"/>
    </row>
    <row r="471" spans="1:20" ht="15.75" thickBot="1">
      <c r="A471" s="1213"/>
      <c r="B471" s="615"/>
      <c r="C471" s="616"/>
      <c r="D471" s="618" t="s">
        <v>973</v>
      </c>
      <c r="E471" s="583"/>
      <c r="F471" s="584">
        <f>SUMPRODUCT($E425:$E464,F425:F464)/$E470</f>
        <v>10</v>
      </c>
      <c r="G471" s="584">
        <f t="shared" ref="G471" si="93">SUMPRODUCT($E425:$E464,G425:G464)/$E470</f>
        <v>10</v>
      </c>
      <c r="H471" s="584">
        <f t="shared" ref="H471" si="94">SUMPRODUCT($E425:$E464,H425:H464)/$E470</f>
        <v>10</v>
      </c>
      <c r="I471" s="585">
        <f t="shared" ref="I471:Q471" si="95">SUMPRODUCT($E425:$E464,I425:I464)/$E470</f>
        <v>1.24</v>
      </c>
      <c r="J471" s="586">
        <f t="shared" si="95"/>
        <v>1.24</v>
      </c>
      <c r="K471" s="801">
        <f t="shared" si="95"/>
        <v>0.5</v>
      </c>
      <c r="L471" s="801">
        <f t="shared" si="95"/>
        <v>0.5</v>
      </c>
      <c r="M471" s="801">
        <f t="shared" si="95"/>
        <v>0</v>
      </c>
      <c r="N471" s="801">
        <f t="shared" si="95"/>
        <v>0</v>
      </c>
      <c r="O471" s="801">
        <f t="shared" si="95"/>
        <v>0</v>
      </c>
      <c r="P471" s="587">
        <f t="shared" si="95"/>
        <v>0</v>
      </c>
      <c r="Q471" s="588">
        <f t="shared" si="95"/>
        <v>0</v>
      </c>
    </row>
    <row r="472" spans="1:20" ht="15">
      <c r="A472" s="557"/>
      <c r="B472" s="557"/>
      <c r="C472" s="557"/>
      <c r="D472" s="557"/>
      <c r="E472" s="557"/>
      <c r="F472" s="557"/>
      <c r="G472" s="557"/>
      <c r="H472" s="557"/>
      <c r="I472" s="557"/>
      <c r="J472" s="590"/>
      <c r="K472" s="557"/>
      <c r="L472" s="557"/>
      <c r="M472" s="557"/>
      <c r="N472" s="557"/>
      <c r="O472" s="557"/>
      <c r="P472" s="557"/>
      <c r="Q472" s="557"/>
    </row>
    <row r="473" spans="1:20" ht="15">
      <c r="A473" s="591"/>
      <c r="B473" s="554"/>
      <c r="C473" s="591"/>
      <c r="D473" s="591"/>
      <c r="E473" s="591"/>
      <c r="F473" s="591"/>
      <c r="G473" s="591"/>
      <c r="H473" s="591"/>
      <c r="I473" s="591"/>
      <c r="J473" s="591"/>
      <c r="K473" s="554"/>
      <c r="L473" s="591"/>
      <c r="M473" s="591"/>
      <c r="N473" s="591"/>
      <c r="O473" s="591"/>
      <c r="P473" s="591"/>
      <c r="Q473" s="591"/>
      <c r="R473" s="592"/>
    </row>
  </sheetData>
  <mergeCells count="9">
    <mergeCell ref="A424:A471"/>
    <mergeCell ref="A268:A315"/>
    <mergeCell ref="A320:A367"/>
    <mergeCell ref="A216:A263"/>
    <mergeCell ref="A164:A210"/>
    <mergeCell ref="A112:A158"/>
    <mergeCell ref="A60:A107"/>
    <mergeCell ref="A8:A55"/>
    <mergeCell ref="A372:A41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sheetPr>
    <tabColor rgb="FF00CCFF"/>
  </sheetPr>
  <dimension ref="A1:W884"/>
  <sheetViews>
    <sheetView topLeftCell="A397" zoomScale="55" zoomScaleNormal="55" workbookViewId="0">
      <selection activeCell="G425" sqref="G425"/>
    </sheetView>
  </sheetViews>
  <sheetFormatPr defaultRowHeight="12.75"/>
  <cols>
    <col min="2" max="2" width="20" customWidth="1"/>
    <col min="3" max="3" width="44" bestFit="1" customWidth="1"/>
    <col min="4" max="4" width="12.85546875" bestFit="1" customWidth="1"/>
    <col min="5" max="5" width="14.140625" bestFit="1" customWidth="1"/>
    <col min="6" max="6" width="11.85546875" customWidth="1"/>
    <col min="7" max="7" width="13.42578125" customWidth="1"/>
    <col min="8" max="8" width="12.42578125" customWidth="1"/>
    <col min="9" max="10" width="15.42578125" customWidth="1"/>
    <col min="19" max="19" width="16" bestFit="1" customWidth="1"/>
    <col min="20" max="20" width="15.7109375" bestFit="1" customWidth="1"/>
  </cols>
  <sheetData>
    <row r="1" spans="1:20" ht="15">
      <c r="A1" s="594"/>
      <c r="B1" s="1088"/>
      <c r="C1" s="1089"/>
      <c r="D1" s="595"/>
      <c r="E1" s="595"/>
      <c r="F1" s="595"/>
      <c r="G1" s="595"/>
      <c r="H1" s="595"/>
      <c r="I1" s="595"/>
      <c r="J1" s="595"/>
      <c r="K1" s="595"/>
      <c r="L1" s="595"/>
      <c r="M1" s="595"/>
      <c r="N1" s="595"/>
      <c r="O1" s="595"/>
      <c r="P1" s="595"/>
      <c r="Q1" s="595"/>
      <c r="R1" s="595"/>
    </row>
    <row r="2" spans="1:20" ht="26.25">
      <c r="A2" s="594"/>
      <c r="B2" s="1090"/>
      <c r="C2" s="1091"/>
      <c r="D2" s="595"/>
      <c r="E2" s="595"/>
      <c r="F2" s="595"/>
      <c r="G2" s="595"/>
      <c r="H2" s="595"/>
      <c r="I2" s="596" t="s">
        <v>977</v>
      </c>
      <c r="J2" s="595"/>
      <c r="K2" s="595"/>
      <c r="L2" s="595"/>
      <c r="M2" s="595"/>
      <c r="N2" s="595"/>
      <c r="O2" s="595"/>
      <c r="P2" s="595"/>
      <c r="Q2" s="595"/>
      <c r="R2" s="595"/>
    </row>
    <row r="3" spans="1:20" ht="15">
      <c r="A3" s="594"/>
      <c r="B3" s="1092"/>
      <c r="C3" s="1093"/>
      <c r="D3" s="595"/>
      <c r="E3" s="595"/>
      <c r="F3" s="595"/>
      <c r="G3" s="595"/>
      <c r="H3" s="595"/>
      <c r="I3" s="595"/>
      <c r="J3" s="595"/>
      <c r="K3" s="595"/>
      <c r="L3" s="595"/>
      <c r="M3" s="595"/>
      <c r="N3" s="595"/>
      <c r="O3" s="595"/>
      <c r="P3" s="595"/>
      <c r="Q3" s="595"/>
      <c r="R3" s="595"/>
    </row>
    <row r="4" spans="1:20" ht="15">
      <c r="A4" s="595"/>
      <c r="B4" s="595"/>
      <c r="C4" s="595"/>
      <c r="D4" s="595"/>
      <c r="E4" s="595"/>
      <c r="F4" s="595"/>
      <c r="G4" s="595"/>
      <c r="H4" s="595"/>
      <c r="I4" s="595"/>
      <c r="J4" s="595"/>
      <c r="K4" s="595"/>
      <c r="L4" s="595"/>
      <c r="M4" s="595"/>
      <c r="N4" s="595"/>
      <c r="O4" s="595"/>
      <c r="P4" s="595"/>
      <c r="Q4" s="595"/>
      <c r="R4" s="595"/>
    </row>
    <row r="5" spans="1:20" ht="15">
      <c r="A5" s="552"/>
      <c r="B5" s="552"/>
      <c r="C5" s="597"/>
      <c r="D5" s="597"/>
      <c r="E5" s="597"/>
      <c r="F5" s="598"/>
      <c r="G5" s="598"/>
      <c r="H5" s="598"/>
      <c r="I5" s="591"/>
      <c r="J5" s="552"/>
      <c r="K5" s="591"/>
      <c r="L5" s="591"/>
      <c r="M5" s="591"/>
      <c r="N5" s="591"/>
      <c r="O5" s="591"/>
      <c r="P5" s="591"/>
      <c r="Q5" s="591"/>
      <c r="R5" s="552"/>
    </row>
    <row r="6" spans="1:20" ht="15">
      <c r="A6" s="557"/>
      <c r="B6" s="799" t="s">
        <v>1173</v>
      </c>
      <c r="C6" s="800" t="s">
        <v>1188</v>
      </c>
      <c r="D6" s="557"/>
      <c r="E6" s="557"/>
      <c r="F6" s="557"/>
      <c r="G6" s="557"/>
      <c r="H6" s="557"/>
      <c r="I6" s="557"/>
      <c r="J6" s="557"/>
      <c r="K6" s="557"/>
      <c r="L6" s="557"/>
      <c r="M6" s="557"/>
      <c r="N6" s="557"/>
      <c r="O6" s="557"/>
      <c r="P6" s="557"/>
      <c r="Q6" s="557"/>
      <c r="R6" s="557"/>
    </row>
    <row r="7" spans="1:20" ht="15" customHeight="1" thickBot="1">
      <c r="A7" s="557"/>
      <c r="B7" s="799" t="s">
        <v>1174</v>
      </c>
      <c r="C7" s="800" t="s">
        <v>1189</v>
      </c>
      <c r="D7" s="557"/>
      <c r="E7" s="557"/>
      <c r="F7" s="608"/>
      <c r="G7" s="609" t="s">
        <v>173</v>
      </c>
      <c r="H7" s="609"/>
      <c r="I7" s="557"/>
      <c r="J7" s="557"/>
      <c r="K7" s="610"/>
      <c r="L7" s="611"/>
      <c r="M7" s="611" t="s">
        <v>954</v>
      </c>
      <c r="N7" s="611"/>
      <c r="O7" s="611"/>
      <c r="P7" s="611"/>
      <c r="Q7" s="612"/>
      <c r="R7" s="557"/>
    </row>
    <row r="8" spans="1:20" ht="60.75" thickBot="1">
      <c r="A8" s="1214" t="s">
        <v>1432</v>
      </c>
      <c r="B8" s="558" t="s">
        <v>955</v>
      </c>
      <c r="C8" s="559" t="s">
        <v>104</v>
      </c>
      <c r="D8" s="558" t="s">
        <v>769</v>
      </c>
      <c r="E8" s="558" t="s">
        <v>255</v>
      </c>
      <c r="F8" s="560" t="s">
        <v>956</v>
      </c>
      <c r="G8" s="560" t="s">
        <v>957</v>
      </c>
      <c r="H8" s="560" t="s">
        <v>958</v>
      </c>
      <c r="I8" s="561" t="s">
        <v>959</v>
      </c>
      <c r="J8" s="562" t="s">
        <v>960</v>
      </c>
      <c r="K8" s="562" t="s">
        <v>961</v>
      </c>
      <c r="L8" s="562" t="s">
        <v>962</v>
      </c>
      <c r="M8" s="562" t="s">
        <v>963</v>
      </c>
      <c r="N8" s="562" t="s">
        <v>964</v>
      </c>
      <c r="O8" s="562" t="s">
        <v>965</v>
      </c>
      <c r="P8" s="562" t="s">
        <v>966</v>
      </c>
      <c r="Q8" s="563" t="s">
        <v>967</v>
      </c>
      <c r="R8" s="557"/>
      <c r="S8" s="602" t="s">
        <v>771</v>
      </c>
      <c r="T8" s="601" t="s">
        <v>770</v>
      </c>
    </row>
    <row r="9" spans="1:20" ht="15">
      <c r="A9" s="1215"/>
      <c r="B9" s="564">
        <v>1</v>
      </c>
      <c r="C9" s="565" t="s">
        <v>1080</v>
      </c>
      <c r="D9" s="564" t="s">
        <v>770</v>
      </c>
      <c r="E9" s="696">
        <v>15000000</v>
      </c>
      <c r="F9" s="566">
        <v>5</v>
      </c>
      <c r="G9" s="566">
        <v>5</v>
      </c>
      <c r="H9" s="566">
        <v>5</v>
      </c>
      <c r="I9" s="567">
        <v>1.9986022566199177</v>
      </c>
      <c r="J9" s="568">
        <v>1.2252368435607179</v>
      </c>
      <c r="K9" s="569">
        <v>0.77777777777777779</v>
      </c>
      <c r="L9" s="569">
        <v>0.1111111111111111</v>
      </c>
      <c r="M9" s="569">
        <v>0.1111111111111111</v>
      </c>
      <c r="N9" s="569">
        <v>0</v>
      </c>
      <c r="O9" s="569"/>
      <c r="P9" s="569"/>
      <c r="Q9" s="570"/>
      <c r="R9" s="557"/>
      <c r="S9" s="603">
        <f>IF(D9="Commercial",1,0)</f>
        <v>0</v>
      </c>
      <c r="T9" s="599">
        <f>IF(D9="Residential",1,0)</f>
        <v>1</v>
      </c>
    </row>
    <row r="10" spans="1:20" ht="15">
      <c r="A10" s="1215"/>
      <c r="B10" s="564">
        <v>2</v>
      </c>
      <c r="C10" s="565" t="s">
        <v>1081</v>
      </c>
      <c r="D10" s="564" t="s">
        <v>770</v>
      </c>
      <c r="E10" s="696">
        <v>100000</v>
      </c>
      <c r="F10" s="566">
        <v>5</v>
      </c>
      <c r="G10" s="566">
        <v>5</v>
      </c>
      <c r="H10" s="566">
        <v>5</v>
      </c>
      <c r="I10" s="567">
        <v>1.9986022566199177</v>
      </c>
      <c r="J10" s="568">
        <v>1.2252368435607179</v>
      </c>
      <c r="K10" s="571">
        <v>0.77777777777777779</v>
      </c>
      <c r="L10" s="571">
        <v>0.1111111111111111</v>
      </c>
      <c r="M10" s="571">
        <v>0.1111111111111111</v>
      </c>
      <c r="N10" s="571">
        <v>0</v>
      </c>
      <c r="O10" s="571"/>
      <c r="P10" s="571"/>
      <c r="Q10" s="572"/>
      <c r="R10" s="557"/>
      <c r="S10" s="603">
        <f t="shared" ref="S10:S48" si="0">IF(D10="Commercial",1,0)</f>
        <v>0</v>
      </c>
      <c r="T10" s="599">
        <f t="shared" ref="T10:T48" si="1">IF(D10="Residential",1,0)</f>
        <v>1</v>
      </c>
    </row>
    <row r="11" spans="1:20" ht="15">
      <c r="A11" s="1215"/>
      <c r="B11" s="564">
        <v>3</v>
      </c>
      <c r="C11" s="565"/>
      <c r="D11" s="564"/>
      <c r="E11" s="696"/>
      <c r="F11" s="566"/>
      <c r="G11" s="566"/>
      <c r="H11" s="566"/>
      <c r="I11" s="567"/>
      <c r="J11" s="568"/>
      <c r="K11" s="571"/>
      <c r="L11" s="571"/>
      <c r="M11" s="571"/>
      <c r="N11" s="571"/>
      <c r="O11" s="571"/>
      <c r="P11" s="571"/>
      <c r="Q11" s="572"/>
      <c r="R11" s="557"/>
      <c r="S11" s="603">
        <f t="shared" si="0"/>
        <v>0</v>
      </c>
      <c r="T11" s="599">
        <f t="shared" si="1"/>
        <v>0</v>
      </c>
    </row>
    <row r="12" spans="1:20" ht="15">
      <c r="A12" s="1215"/>
      <c r="B12" s="564">
        <v>4</v>
      </c>
      <c r="C12" s="565"/>
      <c r="D12" s="564"/>
      <c r="E12" s="696"/>
      <c r="F12" s="566"/>
      <c r="G12" s="566"/>
      <c r="H12" s="566"/>
      <c r="I12" s="567"/>
      <c r="J12" s="568"/>
      <c r="K12" s="571"/>
      <c r="L12" s="571"/>
      <c r="M12" s="571"/>
      <c r="N12" s="571"/>
      <c r="O12" s="571"/>
      <c r="P12" s="571"/>
      <c r="Q12" s="572"/>
      <c r="R12" s="557"/>
      <c r="S12" s="603">
        <f t="shared" si="0"/>
        <v>0</v>
      </c>
      <c r="T12" s="599">
        <f t="shared" si="1"/>
        <v>0</v>
      </c>
    </row>
    <row r="13" spans="1:20" ht="15">
      <c r="A13" s="1215"/>
      <c r="B13" s="564">
        <v>5</v>
      </c>
      <c r="C13" s="565"/>
      <c r="D13" s="564"/>
      <c r="E13" s="696"/>
      <c r="F13" s="566"/>
      <c r="G13" s="566"/>
      <c r="H13" s="566"/>
      <c r="I13" s="567"/>
      <c r="J13" s="568"/>
      <c r="K13" s="571"/>
      <c r="L13" s="571"/>
      <c r="M13" s="571"/>
      <c r="N13" s="571"/>
      <c r="O13" s="571"/>
      <c r="P13" s="571"/>
      <c r="Q13" s="572"/>
      <c r="R13" s="557"/>
      <c r="S13" s="603">
        <f t="shared" si="0"/>
        <v>0</v>
      </c>
      <c r="T13" s="599">
        <f t="shared" si="1"/>
        <v>0</v>
      </c>
    </row>
    <row r="14" spans="1:20" ht="15">
      <c r="A14" s="1215"/>
      <c r="B14" s="564">
        <v>6</v>
      </c>
      <c r="C14" s="565"/>
      <c r="D14" s="564"/>
      <c r="E14" s="696"/>
      <c r="F14" s="566"/>
      <c r="G14" s="566"/>
      <c r="H14" s="566"/>
      <c r="I14" s="567"/>
      <c r="J14" s="568"/>
      <c r="K14" s="571"/>
      <c r="L14" s="571"/>
      <c r="M14" s="571"/>
      <c r="N14" s="571"/>
      <c r="O14" s="571"/>
      <c r="P14" s="571"/>
      <c r="Q14" s="572"/>
      <c r="R14" s="557"/>
      <c r="S14" s="603">
        <f t="shared" si="0"/>
        <v>0</v>
      </c>
      <c r="T14" s="599">
        <f t="shared" si="1"/>
        <v>0</v>
      </c>
    </row>
    <row r="15" spans="1:20" ht="15">
      <c r="A15" s="1215"/>
      <c r="B15" s="564">
        <v>7</v>
      </c>
      <c r="C15" s="565"/>
      <c r="D15" s="564"/>
      <c r="E15" s="696"/>
      <c r="F15" s="566"/>
      <c r="G15" s="566"/>
      <c r="H15" s="566"/>
      <c r="I15" s="567"/>
      <c r="J15" s="568"/>
      <c r="K15" s="571"/>
      <c r="L15" s="571"/>
      <c r="M15" s="571"/>
      <c r="N15" s="571"/>
      <c r="O15" s="571"/>
      <c r="P15" s="571"/>
      <c r="Q15" s="572"/>
      <c r="R15" s="557"/>
      <c r="S15" s="603">
        <f t="shared" si="0"/>
        <v>0</v>
      </c>
      <c r="T15" s="599">
        <f t="shared" si="1"/>
        <v>0</v>
      </c>
    </row>
    <row r="16" spans="1:20" ht="15">
      <c r="A16" s="1215"/>
      <c r="B16" s="564">
        <v>8</v>
      </c>
      <c r="C16" s="565"/>
      <c r="D16" s="564"/>
      <c r="E16" s="696"/>
      <c r="F16" s="566"/>
      <c r="G16" s="566"/>
      <c r="H16" s="566"/>
      <c r="I16" s="567"/>
      <c r="J16" s="568"/>
      <c r="K16" s="571"/>
      <c r="L16" s="571"/>
      <c r="M16" s="571"/>
      <c r="N16" s="571"/>
      <c r="O16" s="571"/>
      <c r="P16" s="571"/>
      <c r="Q16" s="572"/>
      <c r="R16" s="557"/>
      <c r="S16" s="603">
        <f t="shared" si="0"/>
        <v>0</v>
      </c>
      <c r="T16" s="599">
        <f t="shared" si="1"/>
        <v>0</v>
      </c>
    </row>
    <row r="17" spans="1:20" ht="15">
      <c r="A17" s="1215"/>
      <c r="B17" s="564">
        <v>9</v>
      </c>
      <c r="C17" s="565"/>
      <c r="D17" s="564"/>
      <c r="E17" s="696"/>
      <c r="F17" s="566"/>
      <c r="G17" s="566"/>
      <c r="H17" s="566"/>
      <c r="I17" s="567"/>
      <c r="J17" s="568"/>
      <c r="K17" s="571"/>
      <c r="L17" s="571"/>
      <c r="M17" s="571"/>
      <c r="N17" s="571"/>
      <c r="O17" s="571"/>
      <c r="P17" s="571"/>
      <c r="Q17" s="572"/>
      <c r="R17" s="557"/>
      <c r="S17" s="603">
        <f t="shared" si="0"/>
        <v>0</v>
      </c>
      <c r="T17" s="599">
        <f t="shared" si="1"/>
        <v>0</v>
      </c>
    </row>
    <row r="18" spans="1:20" ht="15">
      <c r="A18" s="1215"/>
      <c r="B18" s="564">
        <v>10</v>
      </c>
      <c r="C18" s="565"/>
      <c r="D18" s="564"/>
      <c r="E18" s="696"/>
      <c r="F18" s="566"/>
      <c r="G18" s="566"/>
      <c r="H18" s="566"/>
      <c r="I18" s="567"/>
      <c r="J18" s="568"/>
      <c r="K18" s="571"/>
      <c r="L18" s="571"/>
      <c r="M18" s="571"/>
      <c r="N18" s="571"/>
      <c r="O18" s="571"/>
      <c r="P18" s="571"/>
      <c r="Q18" s="572"/>
      <c r="R18" s="557"/>
      <c r="S18" s="603">
        <f t="shared" si="0"/>
        <v>0</v>
      </c>
      <c r="T18" s="599">
        <f t="shared" si="1"/>
        <v>0</v>
      </c>
    </row>
    <row r="19" spans="1:20" ht="15">
      <c r="A19" s="1215"/>
      <c r="B19" s="564">
        <v>11</v>
      </c>
      <c r="C19" s="565"/>
      <c r="D19" s="564"/>
      <c r="E19" s="696"/>
      <c r="F19" s="566"/>
      <c r="G19" s="566"/>
      <c r="H19" s="566"/>
      <c r="I19" s="567"/>
      <c r="J19" s="568"/>
      <c r="K19" s="571"/>
      <c r="L19" s="571"/>
      <c r="M19" s="571"/>
      <c r="N19" s="571"/>
      <c r="O19" s="571"/>
      <c r="P19" s="571"/>
      <c r="Q19" s="572"/>
      <c r="R19" s="557"/>
      <c r="S19" s="603">
        <f t="shared" si="0"/>
        <v>0</v>
      </c>
      <c r="T19" s="599">
        <f t="shared" si="1"/>
        <v>0</v>
      </c>
    </row>
    <row r="20" spans="1:20" ht="15">
      <c r="A20" s="1215"/>
      <c r="B20" s="564">
        <v>12</v>
      </c>
      <c r="C20" s="565"/>
      <c r="D20" s="564"/>
      <c r="E20" s="696"/>
      <c r="F20" s="566"/>
      <c r="G20" s="566"/>
      <c r="H20" s="566"/>
      <c r="I20" s="567"/>
      <c r="J20" s="568"/>
      <c r="K20" s="571"/>
      <c r="L20" s="571"/>
      <c r="M20" s="571"/>
      <c r="N20" s="571"/>
      <c r="O20" s="571"/>
      <c r="P20" s="571"/>
      <c r="Q20" s="572"/>
      <c r="R20" s="557"/>
      <c r="S20" s="603">
        <f t="shared" si="0"/>
        <v>0</v>
      </c>
      <c r="T20" s="599">
        <f t="shared" si="1"/>
        <v>0</v>
      </c>
    </row>
    <row r="21" spans="1:20" ht="15">
      <c r="A21" s="1215"/>
      <c r="B21" s="564">
        <v>13</v>
      </c>
      <c r="C21" s="565"/>
      <c r="D21" s="564"/>
      <c r="E21" s="696"/>
      <c r="F21" s="566"/>
      <c r="G21" s="566"/>
      <c r="H21" s="566"/>
      <c r="I21" s="567"/>
      <c r="J21" s="568"/>
      <c r="K21" s="571"/>
      <c r="L21" s="571"/>
      <c r="M21" s="571"/>
      <c r="N21" s="571"/>
      <c r="O21" s="571"/>
      <c r="P21" s="571"/>
      <c r="Q21" s="572"/>
      <c r="R21" s="557"/>
      <c r="S21" s="603">
        <f t="shared" si="0"/>
        <v>0</v>
      </c>
      <c r="T21" s="599">
        <f t="shared" si="1"/>
        <v>0</v>
      </c>
    </row>
    <row r="22" spans="1:20" ht="15">
      <c r="A22" s="1215"/>
      <c r="B22" s="564">
        <v>14</v>
      </c>
      <c r="C22" s="565"/>
      <c r="D22" s="564"/>
      <c r="E22" s="696"/>
      <c r="F22" s="566"/>
      <c r="G22" s="566"/>
      <c r="H22" s="566"/>
      <c r="I22" s="567"/>
      <c r="J22" s="568"/>
      <c r="K22" s="571"/>
      <c r="L22" s="571"/>
      <c r="M22" s="571"/>
      <c r="N22" s="571"/>
      <c r="O22" s="571"/>
      <c r="P22" s="571"/>
      <c r="Q22" s="572"/>
      <c r="R22" s="557"/>
      <c r="S22" s="603">
        <f t="shared" si="0"/>
        <v>0</v>
      </c>
      <c r="T22" s="599">
        <f t="shared" si="1"/>
        <v>0</v>
      </c>
    </row>
    <row r="23" spans="1:20" ht="15">
      <c r="A23" s="1215"/>
      <c r="B23" s="564">
        <v>15</v>
      </c>
      <c r="C23" s="565"/>
      <c r="D23" s="564"/>
      <c r="E23" s="696"/>
      <c r="F23" s="566"/>
      <c r="G23" s="566"/>
      <c r="H23" s="566"/>
      <c r="I23" s="567"/>
      <c r="J23" s="568"/>
      <c r="K23" s="571"/>
      <c r="L23" s="571"/>
      <c r="M23" s="571"/>
      <c r="N23" s="571"/>
      <c r="O23" s="571"/>
      <c r="P23" s="571"/>
      <c r="Q23" s="572"/>
      <c r="R23" s="557"/>
      <c r="S23" s="603">
        <f t="shared" si="0"/>
        <v>0</v>
      </c>
      <c r="T23" s="599">
        <f t="shared" si="1"/>
        <v>0</v>
      </c>
    </row>
    <row r="24" spans="1:20" ht="15">
      <c r="A24" s="1215"/>
      <c r="B24" s="564">
        <v>16</v>
      </c>
      <c r="C24" s="565"/>
      <c r="D24" s="564"/>
      <c r="E24" s="696"/>
      <c r="F24" s="566"/>
      <c r="G24" s="566"/>
      <c r="H24" s="566"/>
      <c r="I24" s="567"/>
      <c r="J24" s="568"/>
      <c r="K24" s="571"/>
      <c r="L24" s="571"/>
      <c r="M24" s="571"/>
      <c r="N24" s="571"/>
      <c r="O24" s="571"/>
      <c r="P24" s="571"/>
      <c r="Q24" s="572"/>
      <c r="R24" s="557"/>
      <c r="S24" s="603">
        <f t="shared" si="0"/>
        <v>0</v>
      </c>
      <c r="T24" s="599">
        <f t="shared" si="1"/>
        <v>0</v>
      </c>
    </row>
    <row r="25" spans="1:20" ht="15">
      <c r="A25" s="1215"/>
      <c r="B25" s="564">
        <v>17</v>
      </c>
      <c r="C25" s="565"/>
      <c r="D25" s="564"/>
      <c r="E25" s="696"/>
      <c r="F25" s="566"/>
      <c r="G25" s="566"/>
      <c r="H25" s="566"/>
      <c r="I25" s="567"/>
      <c r="J25" s="567"/>
      <c r="K25" s="564"/>
      <c r="L25" s="564"/>
      <c r="M25" s="564"/>
      <c r="N25" s="564"/>
      <c r="O25" s="564"/>
      <c r="P25" s="564"/>
      <c r="Q25" s="573"/>
      <c r="R25" s="557"/>
      <c r="S25" s="603">
        <f t="shared" si="0"/>
        <v>0</v>
      </c>
      <c r="T25" s="599">
        <f t="shared" si="1"/>
        <v>0</v>
      </c>
    </row>
    <row r="26" spans="1:20" ht="15">
      <c r="A26" s="1215"/>
      <c r="B26" s="564">
        <v>18</v>
      </c>
      <c r="C26" s="565"/>
      <c r="D26" s="564"/>
      <c r="E26" s="696"/>
      <c r="F26" s="566"/>
      <c r="G26" s="566"/>
      <c r="H26" s="566"/>
      <c r="I26" s="567"/>
      <c r="J26" s="567"/>
      <c r="K26" s="564"/>
      <c r="L26" s="564"/>
      <c r="M26" s="564"/>
      <c r="N26" s="564"/>
      <c r="O26" s="564"/>
      <c r="P26" s="564"/>
      <c r="Q26" s="573"/>
      <c r="R26" s="557"/>
      <c r="S26" s="603">
        <f t="shared" si="0"/>
        <v>0</v>
      </c>
      <c r="T26" s="599">
        <f t="shared" si="1"/>
        <v>0</v>
      </c>
    </row>
    <row r="27" spans="1:20" ht="15">
      <c r="A27" s="1215"/>
      <c r="B27" s="564">
        <v>19</v>
      </c>
      <c r="C27" s="565"/>
      <c r="D27" s="564"/>
      <c r="E27" s="696"/>
      <c r="F27" s="566"/>
      <c r="G27" s="566"/>
      <c r="H27" s="566"/>
      <c r="I27" s="567"/>
      <c r="J27" s="567"/>
      <c r="K27" s="564"/>
      <c r="L27" s="564"/>
      <c r="M27" s="564"/>
      <c r="N27" s="564"/>
      <c r="O27" s="564"/>
      <c r="P27" s="564"/>
      <c r="Q27" s="573"/>
      <c r="R27" s="557"/>
      <c r="S27" s="603">
        <f t="shared" si="0"/>
        <v>0</v>
      </c>
      <c r="T27" s="599">
        <f t="shared" si="1"/>
        <v>0</v>
      </c>
    </row>
    <row r="28" spans="1:20" ht="15">
      <c r="A28" s="1215"/>
      <c r="B28" s="564">
        <v>20</v>
      </c>
      <c r="C28" s="565"/>
      <c r="D28" s="564"/>
      <c r="E28" s="696"/>
      <c r="F28" s="566"/>
      <c r="G28" s="566"/>
      <c r="H28" s="566"/>
      <c r="I28" s="567"/>
      <c r="J28" s="567"/>
      <c r="K28" s="564"/>
      <c r="L28" s="564"/>
      <c r="M28" s="564"/>
      <c r="N28" s="564"/>
      <c r="O28" s="564"/>
      <c r="P28" s="564"/>
      <c r="Q28" s="573"/>
      <c r="R28" s="557"/>
      <c r="S28" s="603">
        <f t="shared" si="0"/>
        <v>0</v>
      </c>
      <c r="T28" s="599">
        <f t="shared" si="1"/>
        <v>0</v>
      </c>
    </row>
    <row r="29" spans="1:20" ht="15">
      <c r="A29" s="1215"/>
      <c r="B29" s="564">
        <v>21</v>
      </c>
      <c r="C29" s="565"/>
      <c r="D29" s="564"/>
      <c r="E29" s="696"/>
      <c r="F29" s="566"/>
      <c r="G29" s="566"/>
      <c r="H29" s="566"/>
      <c r="I29" s="567"/>
      <c r="J29" s="567"/>
      <c r="K29" s="564"/>
      <c r="L29" s="564"/>
      <c r="M29" s="564"/>
      <c r="N29" s="564"/>
      <c r="O29" s="564"/>
      <c r="P29" s="564"/>
      <c r="Q29" s="573"/>
      <c r="R29" s="557"/>
      <c r="S29" s="603">
        <f t="shared" si="0"/>
        <v>0</v>
      </c>
      <c r="T29" s="599">
        <f t="shared" si="1"/>
        <v>0</v>
      </c>
    </row>
    <row r="30" spans="1:20" ht="15">
      <c r="A30" s="1215"/>
      <c r="B30" s="564">
        <v>22</v>
      </c>
      <c r="C30" s="565"/>
      <c r="D30" s="564"/>
      <c r="E30" s="696"/>
      <c r="F30" s="566"/>
      <c r="G30" s="566"/>
      <c r="H30" s="566"/>
      <c r="I30" s="567"/>
      <c r="J30" s="567"/>
      <c r="K30" s="564"/>
      <c r="L30" s="564"/>
      <c r="M30" s="564"/>
      <c r="N30" s="564"/>
      <c r="O30" s="564"/>
      <c r="P30" s="564"/>
      <c r="Q30" s="573"/>
      <c r="R30" s="557"/>
      <c r="S30" s="603">
        <f t="shared" si="0"/>
        <v>0</v>
      </c>
      <c r="T30" s="599">
        <f t="shared" si="1"/>
        <v>0</v>
      </c>
    </row>
    <row r="31" spans="1:20" ht="15">
      <c r="A31" s="1215"/>
      <c r="B31" s="564">
        <v>23</v>
      </c>
      <c r="C31" s="565"/>
      <c r="D31" s="564"/>
      <c r="E31" s="696"/>
      <c r="F31" s="566"/>
      <c r="G31" s="566"/>
      <c r="H31" s="566"/>
      <c r="I31" s="567"/>
      <c r="J31" s="567"/>
      <c r="K31" s="564"/>
      <c r="L31" s="564"/>
      <c r="M31" s="564"/>
      <c r="N31" s="564"/>
      <c r="O31" s="564"/>
      <c r="P31" s="564"/>
      <c r="Q31" s="573"/>
      <c r="R31" s="557"/>
      <c r="S31" s="603">
        <f t="shared" si="0"/>
        <v>0</v>
      </c>
      <c r="T31" s="599">
        <f t="shared" si="1"/>
        <v>0</v>
      </c>
    </row>
    <row r="32" spans="1:20" ht="15">
      <c r="A32" s="1215"/>
      <c r="B32" s="564">
        <v>24</v>
      </c>
      <c r="C32" s="565"/>
      <c r="D32" s="564"/>
      <c r="E32" s="696"/>
      <c r="F32" s="566"/>
      <c r="G32" s="566"/>
      <c r="H32" s="566"/>
      <c r="I32" s="567"/>
      <c r="J32" s="567"/>
      <c r="K32" s="564"/>
      <c r="L32" s="564"/>
      <c r="M32" s="564"/>
      <c r="N32" s="564"/>
      <c r="O32" s="564"/>
      <c r="P32" s="564"/>
      <c r="Q32" s="573"/>
      <c r="R32" s="557"/>
      <c r="S32" s="603">
        <f t="shared" si="0"/>
        <v>0</v>
      </c>
      <c r="T32" s="599">
        <f t="shared" si="1"/>
        <v>0</v>
      </c>
    </row>
    <row r="33" spans="1:20" ht="15">
      <c r="A33" s="1215"/>
      <c r="B33" s="564">
        <v>25</v>
      </c>
      <c r="C33" s="565"/>
      <c r="D33" s="564"/>
      <c r="E33" s="696"/>
      <c r="F33" s="566"/>
      <c r="G33" s="566"/>
      <c r="H33" s="566"/>
      <c r="I33" s="567"/>
      <c r="J33" s="567"/>
      <c r="K33" s="564"/>
      <c r="L33" s="564"/>
      <c r="M33" s="564"/>
      <c r="N33" s="564"/>
      <c r="O33" s="564"/>
      <c r="P33" s="564"/>
      <c r="Q33" s="573"/>
      <c r="R33" s="557"/>
      <c r="S33" s="603">
        <f t="shared" si="0"/>
        <v>0</v>
      </c>
      <c r="T33" s="599">
        <f t="shared" si="1"/>
        <v>0</v>
      </c>
    </row>
    <row r="34" spans="1:20" ht="15">
      <c r="A34" s="1215"/>
      <c r="B34" s="564">
        <v>26</v>
      </c>
      <c r="C34" s="565"/>
      <c r="D34" s="564"/>
      <c r="E34" s="697"/>
      <c r="F34" s="695"/>
      <c r="G34" s="695"/>
      <c r="H34" s="695"/>
      <c r="I34" s="693"/>
      <c r="J34" s="693"/>
      <c r="K34" s="574"/>
      <c r="L34" s="574"/>
      <c r="M34" s="574"/>
      <c r="N34" s="574"/>
      <c r="O34" s="574"/>
      <c r="P34" s="574"/>
      <c r="Q34" s="575"/>
      <c r="R34" s="557"/>
      <c r="S34" s="603">
        <f t="shared" si="0"/>
        <v>0</v>
      </c>
      <c r="T34" s="599">
        <f t="shared" si="1"/>
        <v>0</v>
      </c>
    </row>
    <row r="35" spans="1:20" ht="15">
      <c r="A35" s="1215"/>
      <c r="B35" s="564">
        <v>27</v>
      </c>
      <c r="C35" s="565"/>
      <c r="D35" s="564"/>
      <c r="E35" s="697"/>
      <c r="F35" s="695"/>
      <c r="G35" s="695"/>
      <c r="H35" s="695"/>
      <c r="I35" s="693"/>
      <c r="J35" s="693"/>
      <c r="K35" s="574"/>
      <c r="L35" s="574"/>
      <c r="M35" s="574"/>
      <c r="N35" s="574"/>
      <c r="O35" s="574"/>
      <c r="P35" s="574"/>
      <c r="Q35" s="575"/>
      <c r="R35" s="557"/>
      <c r="S35" s="603">
        <f t="shared" si="0"/>
        <v>0</v>
      </c>
      <c r="T35" s="599">
        <f t="shared" si="1"/>
        <v>0</v>
      </c>
    </row>
    <row r="36" spans="1:20" ht="15">
      <c r="A36" s="1215"/>
      <c r="B36" s="564">
        <v>28</v>
      </c>
      <c r="C36" s="565"/>
      <c r="D36" s="564"/>
      <c r="E36" s="697"/>
      <c r="F36" s="695"/>
      <c r="G36" s="695"/>
      <c r="H36" s="695"/>
      <c r="I36" s="693"/>
      <c r="J36" s="693"/>
      <c r="K36" s="574"/>
      <c r="L36" s="574"/>
      <c r="M36" s="574"/>
      <c r="N36" s="574"/>
      <c r="O36" s="574"/>
      <c r="P36" s="574"/>
      <c r="Q36" s="575"/>
      <c r="R36" s="557"/>
      <c r="S36" s="603">
        <f t="shared" si="0"/>
        <v>0</v>
      </c>
      <c r="T36" s="599">
        <f t="shared" si="1"/>
        <v>0</v>
      </c>
    </row>
    <row r="37" spans="1:20" ht="15">
      <c r="A37" s="1215"/>
      <c r="B37" s="564">
        <v>29</v>
      </c>
      <c r="C37" s="565"/>
      <c r="D37" s="564"/>
      <c r="E37" s="697"/>
      <c r="F37" s="695"/>
      <c r="G37" s="695"/>
      <c r="H37" s="695"/>
      <c r="I37" s="693"/>
      <c r="J37" s="693"/>
      <c r="K37" s="574"/>
      <c r="L37" s="574"/>
      <c r="M37" s="574"/>
      <c r="N37" s="574"/>
      <c r="O37" s="574"/>
      <c r="P37" s="574"/>
      <c r="Q37" s="575"/>
      <c r="R37" s="557"/>
      <c r="S37" s="603">
        <f t="shared" si="0"/>
        <v>0</v>
      </c>
      <c r="T37" s="599">
        <f t="shared" si="1"/>
        <v>0</v>
      </c>
    </row>
    <row r="38" spans="1:20" ht="15">
      <c r="A38" s="1215"/>
      <c r="B38" s="564">
        <v>30</v>
      </c>
      <c r="C38" s="565"/>
      <c r="D38" s="564"/>
      <c r="E38" s="697"/>
      <c r="F38" s="695"/>
      <c r="G38" s="695"/>
      <c r="H38" s="695"/>
      <c r="I38" s="693"/>
      <c r="J38" s="693"/>
      <c r="K38" s="574"/>
      <c r="L38" s="574"/>
      <c r="M38" s="574"/>
      <c r="N38" s="574"/>
      <c r="O38" s="574"/>
      <c r="P38" s="574"/>
      <c r="Q38" s="575"/>
      <c r="R38" s="557"/>
      <c r="S38" s="603">
        <f t="shared" si="0"/>
        <v>0</v>
      </c>
      <c r="T38" s="599">
        <f t="shared" si="1"/>
        <v>0</v>
      </c>
    </row>
    <row r="39" spans="1:20" ht="15">
      <c r="A39" s="1215"/>
      <c r="B39" s="564">
        <v>31</v>
      </c>
      <c r="C39" s="565"/>
      <c r="D39" s="564"/>
      <c r="E39" s="696"/>
      <c r="F39" s="566"/>
      <c r="G39" s="566"/>
      <c r="H39" s="566"/>
      <c r="I39" s="567"/>
      <c r="J39" s="567"/>
      <c r="K39" s="564"/>
      <c r="L39" s="564"/>
      <c r="M39" s="564"/>
      <c r="N39" s="564"/>
      <c r="O39" s="564"/>
      <c r="P39" s="564"/>
      <c r="Q39" s="573"/>
      <c r="R39" s="557"/>
      <c r="S39" s="603">
        <f t="shared" si="0"/>
        <v>0</v>
      </c>
      <c r="T39" s="599">
        <f t="shared" si="1"/>
        <v>0</v>
      </c>
    </row>
    <row r="40" spans="1:20" ht="15">
      <c r="A40" s="1215"/>
      <c r="B40" s="564">
        <v>32</v>
      </c>
      <c r="C40" s="565"/>
      <c r="D40" s="564"/>
      <c r="E40" s="696"/>
      <c r="F40" s="566"/>
      <c r="G40" s="566"/>
      <c r="H40" s="566"/>
      <c r="I40" s="567"/>
      <c r="J40" s="567"/>
      <c r="K40" s="564"/>
      <c r="L40" s="564"/>
      <c r="M40" s="564"/>
      <c r="N40" s="564"/>
      <c r="O40" s="564"/>
      <c r="P40" s="564"/>
      <c r="Q40" s="573"/>
      <c r="R40" s="557"/>
      <c r="S40" s="603">
        <f t="shared" si="0"/>
        <v>0</v>
      </c>
      <c r="T40" s="599">
        <f t="shared" si="1"/>
        <v>0</v>
      </c>
    </row>
    <row r="41" spans="1:20" ht="15">
      <c r="A41" s="1215"/>
      <c r="B41" s="564">
        <v>33</v>
      </c>
      <c r="C41" s="565"/>
      <c r="D41" s="564"/>
      <c r="E41" s="696"/>
      <c r="F41" s="566"/>
      <c r="G41" s="566"/>
      <c r="H41" s="566"/>
      <c r="I41" s="567"/>
      <c r="J41" s="567"/>
      <c r="K41" s="564"/>
      <c r="L41" s="564"/>
      <c r="M41" s="564"/>
      <c r="N41" s="564"/>
      <c r="O41" s="564"/>
      <c r="P41" s="564"/>
      <c r="Q41" s="573"/>
      <c r="R41" s="557"/>
      <c r="S41" s="603">
        <f t="shared" si="0"/>
        <v>0</v>
      </c>
      <c r="T41" s="599">
        <f t="shared" si="1"/>
        <v>0</v>
      </c>
    </row>
    <row r="42" spans="1:20" ht="15">
      <c r="A42" s="1215"/>
      <c r="B42" s="564">
        <v>34</v>
      </c>
      <c r="C42" s="565"/>
      <c r="D42" s="564"/>
      <c r="E42" s="696"/>
      <c r="F42" s="566"/>
      <c r="G42" s="566"/>
      <c r="H42" s="566"/>
      <c r="I42" s="567"/>
      <c r="J42" s="567"/>
      <c r="K42" s="564"/>
      <c r="L42" s="564"/>
      <c r="M42" s="564"/>
      <c r="N42" s="564"/>
      <c r="O42" s="564"/>
      <c r="P42" s="564"/>
      <c r="Q42" s="573"/>
      <c r="R42" s="557"/>
      <c r="S42" s="603">
        <f t="shared" si="0"/>
        <v>0</v>
      </c>
      <c r="T42" s="599">
        <f t="shared" si="1"/>
        <v>0</v>
      </c>
    </row>
    <row r="43" spans="1:20" ht="15">
      <c r="A43" s="1215"/>
      <c r="B43" s="564">
        <v>35</v>
      </c>
      <c r="C43" s="565"/>
      <c r="D43" s="564"/>
      <c r="E43" s="696"/>
      <c r="F43" s="566"/>
      <c r="G43" s="566"/>
      <c r="H43" s="566"/>
      <c r="I43" s="567"/>
      <c r="J43" s="567"/>
      <c r="K43" s="564"/>
      <c r="L43" s="564"/>
      <c r="M43" s="564"/>
      <c r="N43" s="564"/>
      <c r="O43" s="564"/>
      <c r="P43" s="564"/>
      <c r="Q43" s="573"/>
      <c r="R43" s="557"/>
      <c r="S43" s="603">
        <f t="shared" si="0"/>
        <v>0</v>
      </c>
      <c r="T43" s="599">
        <f t="shared" si="1"/>
        <v>0</v>
      </c>
    </row>
    <row r="44" spans="1:20" ht="15">
      <c r="A44" s="1215"/>
      <c r="B44" s="564">
        <v>36</v>
      </c>
      <c r="C44" s="565"/>
      <c r="D44" s="564"/>
      <c r="E44" s="696"/>
      <c r="F44" s="566"/>
      <c r="G44" s="566"/>
      <c r="H44" s="566"/>
      <c r="I44" s="567"/>
      <c r="J44" s="567"/>
      <c r="K44" s="564"/>
      <c r="L44" s="564"/>
      <c r="M44" s="564"/>
      <c r="N44" s="564"/>
      <c r="O44" s="564"/>
      <c r="P44" s="564"/>
      <c r="Q44" s="573"/>
      <c r="R44" s="557"/>
      <c r="S44" s="603">
        <f t="shared" si="0"/>
        <v>0</v>
      </c>
      <c r="T44" s="599">
        <f t="shared" si="1"/>
        <v>0</v>
      </c>
    </row>
    <row r="45" spans="1:20" ht="15">
      <c r="A45" s="1215"/>
      <c r="B45" s="564">
        <v>37</v>
      </c>
      <c r="C45" s="565"/>
      <c r="D45" s="564"/>
      <c r="E45" s="696"/>
      <c r="F45" s="566"/>
      <c r="G45" s="566"/>
      <c r="H45" s="566"/>
      <c r="I45" s="567"/>
      <c r="J45" s="567"/>
      <c r="K45" s="564"/>
      <c r="L45" s="564"/>
      <c r="M45" s="564"/>
      <c r="N45" s="564"/>
      <c r="O45" s="564"/>
      <c r="P45" s="564"/>
      <c r="Q45" s="573"/>
      <c r="R45" s="557"/>
      <c r="S45" s="603">
        <f t="shared" si="0"/>
        <v>0</v>
      </c>
      <c r="T45" s="599">
        <f t="shared" si="1"/>
        <v>0</v>
      </c>
    </row>
    <row r="46" spans="1:20" ht="15">
      <c r="A46" s="1215"/>
      <c r="B46" s="564">
        <v>38</v>
      </c>
      <c r="C46" s="565"/>
      <c r="D46" s="564"/>
      <c r="E46" s="696"/>
      <c r="F46" s="566"/>
      <c r="G46" s="566"/>
      <c r="H46" s="566"/>
      <c r="I46" s="567"/>
      <c r="J46" s="567"/>
      <c r="K46" s="564"/>
      <c r="L46" s="564"/>
      <c r="M46" s="564"/>
      <c r="N46" s="564"/>
      <c r="O46" s="564"/>
      <c r="P46" s="564"/>
      <c r="Q46" s="573"/>
      <c r="R46" s="557"/>
      <c r="S46" s="603">
        <f t="shared" si="0"/>
        <v>0</v>
      </c>
      <c r="T46" s="599">
        <f t="shared" si="1"/>
        <v>0</v>
      </c>
    </row>
    <row r="47" spans="1:20" ht="15">
      <c r="A47" s="1215"/>
      <c r="B47" s="564">
        <v>39</v>
      </c>
      <c r="C47" s="565"/>
      <c r="D47" s="564"/>
      <c r="E47" s="696"/>
      <c r="F47" s="566"/>
      <c r="G47" s="566"/>
      <c r="H47" s="566"/>
      <c r="I47" s="567"/>
      <c r="J47" s="567"/>
      <c r="K47" s="564"/>
      <c r="L47" s="564"/>
      <c r="M47" s="564"/>
      <c r="N47" s="564"/>
      <c r="O47" s="564"/>
      <c r="P47" s="564"/>
      <c r="Q47" s="573"/>
      <c r="R47" s="557"/>
      <c r="S47" s="603">
        <f t="shared" si="0"/>
        <v>0</v>
      </c>
      <c r="T47" s="599">
        <f t="shared" si="1"/>
        <v>0</v>
      </c>
    </row>
    <row r="48" spans="1:20" ht="15.75" thickBot="1">
      <c r="A48" s="1215"/>
      <c r="B48" s="564">
        <v>40</v>
      </c>
      <c r="C48" s="565"/>
      <c r="D48" s="564"/>
      <c r="E48" s="696"/>
      <c r="F48" s="566"/>
      <c r="G48" s="566"/>
      <c r="H48" s="566"/>
      <c r="I48" s="567"/>
      <c r="J48" s="567"/>
      <c r="K48" s="564"/>
      <c r="L48" s="564"/>
      <c r="M48" s="564"/>
      <c r="N48" s="564"/>
      <c r="O48" s="564"/>
      <c r="P48" s="564"/>
      <c r="Q48" s="573"/>
      <c r="R48" s="557"/>
      <c r="S48" s="604">
        <f t="shared" si="0"/>
        <v>0</v>
      </c>
      <c r="T48" s="600">
        <f t="shared" si="1"/>
        <v>0</v>
      </c>
    </row>
    <row r="49" spans="1:20" ht="15.75" thickBot="1">
      <c r="A49" s="1215"/>
      <c r="B49" s="576"/>
      <c r="C49" s="576"/>
      <c r="D49" s="576"/>
      <c r="E49" s="576"/>
      <c r="F49" s="576"/>
      <c r="G49" s="576"/>
      <c r="H49" s="576"/>
      <c r="I49" s="699"/>
      <c r="J49" s="699"/>
      <c r="K49" s="576"/>
      <c r="L49" s="576"/>
      <c r="M49" s="576"/>
      <c r="N49" s="576"/>
      <c r="O49" s="576"/>
      <c r="P49" s="576"/>
      <c r="Q49" s="576"/>
      <c r="R49" s="557"/>
    </row>
    <row r="50" spans="1:20" ht="15">
      <c r="A50" s="1215"/>
      <c r="B50" s="613"/>
      <c r="C50" s="614"/>
      <c r="D50" s="617" t="s">
        <v>968</v>
      </c>
      <c r="E50" s="700">
        <f>SUMPRODUCT(T9:T48,E9:E48)</f>
        <v>15100000</v>
      </c>
      <c r="F50" s="578"/>
      <c r="G50" s="578"/>
      <c r="H50" s="578"/>
      <c r="I50" s="579"/>
      <c r="J50" s="580"/>
      <c r="K50" s="581"/>
      <c r="L50" s="581"/>
      <c r="M50" s="581"/>
      <c r="N50" s="581"/>
      <c r="O50" s="581"/>
      <c r="P50" s="581"/>
      <c r="Q50" s="582"/>
      <c r="R50" s="185"/>
      <c r="S50" s="606">
        <f>SUM(S9:S48)</f>
        <v>0</v>
      </c>
      <c r="T50" s="606">
        <f>SUM(T9:T48)</f>
        <v>2</v>
      </c>
    </row>
    <row r="51" spans="1:20" ht="15.75" thickBot="1">
      <c r="A51" s="1215"/>
      <c r="B51" s="615"/>
      <c r="C51" s="616"/>
      <c r="D51" s="618" t="s">
        <v>969</v>
      </c>
      <c r="E51" s="701"/>
      <c r="F51" s="584">
        <f>IF($T50=0,0,(SUMPRODUCT($T9:$T48,F9:F48,$E9:$E48)/$E50))</f>
        <v>5</v>
      </c>
      <c r="G51" s="584">
        <f t="shared" ref="G51:H51" si="2">IF($T50=0,0,(SUMPRODUCT($T9:$T48,G9:G48,$E9:$E48)/$E50))</f>
        <v>5</v>
      </c>
      <c r="H51" s="584">
        <f t="shared" si="2"/>
        <v>5</v>
      </c>
      <c r="I51" s="585">
        <f>IF($T50=0,0,(SUMPRODUCT($T9:$T48,I9:I48,$E9:$E48)/$E50))</f>
        <v>1.998602256619918</v>
      </c>
      <c r="J51" s="585">
        <f>IF($T50=0,0,(SUMPRODUCT($T9:$T48,J9:J48,$E9:$E48)/$E50))</f>
        <v>1.2252368435607179</v>
      </c>
      <c r="K51" s="587">
        <f t="shared" ref="K51:Q51" si="3">IF($T50=0,0,(SUMPRODUCT($T9:$T48,K9:K48,$E9:$E48)/$E50))</f>
        <v>0.77777777777777779</v>
      </c>
      <c r="L51" s="587">
        <f t="shared" si="3"/>
        <v>0.11111111111111109</v>
      </c>
      <c r="M51" s="587">
        <f t="shared" si="3"/>
        <v>0.11111111111111109</v>
      </c>
      <c r="N51" s="587">
        <f t="shared" si="3"/>
        <v>0</v>
      </c>
      <c r="O51" s="587">
        <f t="shared" si="3"/>
        <v>0</v>
      </c>
      <c r="P51" s="587">
        <f t="shared" si="3"/>
        <v>0</v>
      </c>
      <c r="Q51" s="588">
        <f t="shared" si="3"/>
        <v>0</v>
      </c>
      <c r="R51" s="185"/>
    </row>
    <row r="52" spans="1:20" ht="15">
      <c r="A52" s="1215"/>
      <c r="B52" s="613"/>
      <c r="C52" s="614"/>
      <c r="D52" s="617" t="s">
        <v>970</v>
      </c>
      <c r="E52" s="700">
        <f>SUMPRODUCT(S9:S48,E9:E48)</f>
        <v>0</v>
      </c>
      <c r="F52" s="578"/>
      <c r="G52" s="578"/>
      <c r="H52" s="578"/>
      <c r="I52" s="579"/>
      <c r="J52" s="589"/>
      <c r="K52" s="581"/>
      <c r="L52" s="581"/>
      <c r="M52" s="581"/>
      <c r="N52" s="581"/>
      <c r="O52" s="581"/>
      <c r="P52" s="581"/>
      <c r="Q52" s="582"/>
      <c r="R52" s="185"/>
    </row>
    <row r="53" spans="1:20" ht="15.75" thickBot="1">
      <c r="A53" s="1215"/>
      <c r="B53" s="615"/>
      <c r="C53" s="616"/>
      <c r="D53" s="618" t="s">
        <v>971</v>
      </c>
      <c r="E53" s="701"/>
      <c r="F53" s="584">
        <f>IF($S50=0,0,(SUMPRODUCT($S9:$S48,F9:F48,$E9:$E48)/$E52))</f>
        <v>0</v>
      </c>
      <c r="G53" s="584">
        <f t="shared" ref="G53:J53" si="4">IF($S50=0,0,(SUMPRODUCT($S9:$S48,G9:G48,$E9:$E48)/$E52))</f>
        <v>0</v>
      </c>
      <c r="H53" s="584">
        <f t="shared" si="4"/>
        <v>0</v>
      </c>
      <c r="I53" s="585">
        <f t="shared" si="4"/>
        <v>0</v>
      </c>
      <c r="J53" s="585">
        <f t="shared" si="4"/>
        <v>0</v>
      </c>
      <c r="K53" s="587">
        <f t="shared" ref="K53:Q53" si="5">IF($S50=0,0,(SUMPRODUCT($S9:$S48,K9:K48,$E9:$E48)/$E52))</f>
        <v>0</v>
      </c>
      <c r="L53" s="587">
        <f t="shared" si="5"/>
        <v>0</v>
      </c>
      <c r="M53" s="587">
        <f t="shared" si="5"/>
        <v>0</v>
      </c>
      <c r="N53" s="587">
        <f t="shared" si="5"/>
        <v>0</v>
      </c>
      <c r="O53" s="587">
        <f t="shared" si="5"/>
        <v>0</v>
      </c>
      <c r="P53" s="587">
        <f t="shared" si="5"/>
        <v>0</v>
      </c>
      <c r="Q53" s="588">
        <f t="shared" si="5"/>
        <v>0</v>
      </c>
      <c r="R53" s="185"/>
    </row>
    <row r="54" spans="1:20" ht="15">
      <c r="A54" s="1215"/>
      <c r="B54" s="613"/>
      <c r="C54" s="614"/>
      <c r="D54" s="617" t="s">
        <v>972</v>
      </c>
      <c r="E54" s="700">
        <f>SUM(E9:E48)</f>
        <v>15100000</v>
      </c>
      <c r="F54" s="578"/>
      <c r="G54" s="578"/>
      <c r="H54" s="578"/>
      <c r="I54" s="579"/>
      <c r="J54" s="580"/>
      <c r="K54" s="581"/>
      <c r="L54" s="581"/>
      <c r="M54" s="581"/>
      <c r="N54" s="581"/>
      <c r="O54" s="581"/>
      <c r="P54" s="581"/>
      <c r="Q54" s="582"/>
      <c r="R54" s="185"/>
    </row>
    <row r="55" spans="1:20" ht="15.75" thickBot="1">
      <c r="A55" s="1215"/>
      <c r="B55" s="615"/>
      <c r="C55" s="616"/>
      <c r="D55" s="618" t="s">
        <v>973</v>
      </c>
      <c r="E55" s="701"/>
      <c r="F55" s="584">
        <f>SUMPRODUCT($E9:$E48,F9:F48)/$E54</f>
        <v>5</v>
      </c>
      <c r="G55" s="584">
        <f t="shared" ref="G55:J55" si="6">SUMPRODUCT($E9:$E48,G9:G48)/$E54</f>
        <v>5</v>
      </c>
      <c r="H55" s="584">
        <f t="shared" si="6"/>
        <v>5</v>
      </c>
      <c r="I55" s="585">
        <f t="shared" si="6"/>
        <v>1.998602256619918</v>
      </c>
      <c r="J55" s="585">
        <f t="shared" si="6"/>
        <v>1.2252368435607179</v>
      </c>
      <c r="K55" s="801">
        <f t="shared" ref="K55:Q55" si="7">SUMPRODUCT($E9:$E48,K9:K48)/$E54</f>
        <v>0.77777777777777779</v>
      </c>
      <c r="L55" s="801">
        <f t="shared" si="7"/>
        <v>0.11111111111111109</v>
      </c>
      <c r="M55" s="801">
        <f t="shared" si="7"/>
        <v>0.11111111111111109</v>
      </c>
      <c r="N55" s="801">
        <f t="shared" si="7"/>
        <v>0</v>
      </c>
      <c r="O55" s="587">
        <f t="shared" si="7"/>
        <v>0</v>
      </c>
      <c r="P55" s="587">
        <f t="shared" si="7"/>
        <v>0</v>
      </c>
      <c r="Q55" s="588">
        <f t="shared" si="7"/>
        <v>0</v>
      </c>
      <c r="R55" s="185"/>
    </row>
    <row r="56" spans="1:20" ht="15">
      <c r="A56" s="1215"/>
      <c r="B56" s="557"/>
      <c r="C56" s="557"/>
      <c r="D56" s="557"/>
      <c r="E56" s="557"/>
      <c r="F56" s="557"/>
      <c r="G56" s="557"/>
      <c r="H56" s="557"/>
      <c r="I56" s="557"/>
      <c r="J56" s="590"/>
      <c r="K56" s="557"/>
      <c r="L56" s="557"/>
      <c r="M56" s="557"/>
      <c r="N56" s="557"/>
      <c r="O56" s="557"/>
      <c r="P56" s="557"/>
      <c r="Q56" s="557"/>
      <c r="R56" s="557"/>
    </row>
    <row r="57" spans="1:20" ht="15">
      <c r="A57" s="591"/>
      <c r="B57" s="554"/>
      <c r="C57" s="591"/>
      <c r="D57" s="591"/>
      <c r="E57" s="591"/>
      <c r="F57" s="591"/>
      <c r="G57" s="591"/>
      <c r="H57" s="591"/>
      <c r="I57" s="591"/>
      <c r="J57" s="591"/>
      <c r="K57" s="554"/>
      <c r="L57" s="591"/>
      <c r="M57" s="591"/>
      <c r="N57" s="591"/>
      <c r="O57" s="591"/>
      <c r="P57" s="591"/>
      <c r="Q57" s="591"/>
      <c r="R57" s="591"/>
    </row>
    <row r="58" spans="1:20" ht="15">
      <c r="A58" s="557"/>
      <c r="B58" s="799" t="s">
        <v>1173</v>
      </c>
      <c r="C58" s="800" t="s">
        <v>1206</v>
      </c>
      <c r="D58" s="557"/>
      <c r="E58" s="557"/>
      <c r="F58" s="557"/>
      <c r="G58" s="557"/>
      <c r="H58" s="557"/>
      <c r="I58" s="557"/>
      <c r="J58" s="557"/>
      <c r="K58" s="557"/>
      <c r="L58" s="557"/>
      <c r="M58" s="557"/>
      <c r="N58" s="557"/>
      <c r="O58" s="557"/>
      <c r="P58" s="557"/>
      <c r="Q58" s="557"/>
      <c r="R58" s="557"/>
    </row>
    <row r="59" spans="1:20" ht="15" customHeight="1" thickBot="1">
      <c r="A59" s="557"/>
      <c r="B59" s="799" t="s">
        <v>1174</v>
      </c>
      <c r="C59" s="800" t="s">
        <v>1207</v>
      </c>
      <c r="D59" s="557"/>
      <c r="E59" s="557"/>
      <c r="F59" s="608"/>
      <c r="G59" s="609" t="s">
        <v>173</v>
      </c>
      <c r="H59" s="609"/>
      <c r="I59" s="557"/>
      <c r="J59" s="557"/>
      <c r="K59" s="610"/>
      <c r="L59" s="611"/>
      <c r="M59" s="611" t="s">
        <v>954</v>
      </c>
      <c r="N59" s="611"/>
      <c r="O59" s="611"/>
      <c r="P59" s="611"/>
      <c r="Q59" s="612"/>
      <c r="R59" s="557"/>
    </row>
    <row r="60" spans="1:20" ht="60.75" thickBot="1">
      <c r="A60" s="1214" t="s">
        <v>1433</v>
      </c>
      <c r="B60" s="558" t="s">
        <v>955</v>
      </c>
      <c r="C60" s="559" t="s">
        <v>104</v>
      </c>
      <c r="D60" s="558" t="s">
        <v>769</v>
      </c>
      <c r="E60" s="558" t="s">
        <v>255</v>
      </c>
      <c r="F60" s="560" t="s">
        <v>956</v>
      </c>
      <c r="G60" s="560" t="s">
        <v>957</v>
      </c>
      <c r="H60" s="560" t="s">
        <v>958</v>
      </c>
      <c r="I60" s="561" t="s">
        <v>959</v>
      </c>
      <c r="J60" s="562" t="s">
        <v>960</v>
      </c>
      <c r="K60" s="562" t="s">
        <v>961</v>
      </c>
      <c r="L60" s="562" t="s">
        <v>962</v>
      </c>
      <c r="M60" s="562" t="s">
        <v>963</v>
      </c>
      <c r="N60" s="562" t="s">
        <v>964</v>
      </c>
      <c r="O60" s="562" t="s">
        <v>965</v>
      </c>
      <c r="P60" s="562" t="s">
        <v>966</v>
      </c>
      <c r="Q60" s="563" t="s">
        <v>967</v>
      </c>
      <c r="R60" s="557"/>
      <c r="S60" s="602" t="s">
        <v>771</v>
      </c>
      <c r="T60" s="601" t="s">
        <v>770</v>
      </c>
    </row>
    <row r="61" spans="1:20" ht="15">
      <c r="A61" s="1215"/>
      <c r="B61" s="564">
        <v>1</v>
      </c>
      <c r="C61" s="565" t="s">
        <v>1048</v>
      </c>
      <c r="D61" s="564" t="s">
        <v>770</v>
      </c>
      <c r="E61" s="696">
        <v>67852080</v>
      </c>
      <c r="F61" s="566">
        <v>1.5</v>
      </c>
      <c r="G61" s="566">
        <v>2</v>
      </c>
      <c r="H61" s="566">
        <v>4</v>
      </c>
      <c r="I61" s="567">
        <v>2.1445792714936389</v>
      </c>
      <c r="J61" s="568">
        <v>1.4589116551573651</v>
      </c>
      <c r="K61" s="569">
        <v>0</v>
      </c>
      <c r="L61" s="569">
        <v>0.23727272727272725</v>
      </c>
      <c r="M61" s="569">
        <v>0.7627272727272727</v>
      </c>
      <c r="N61" s="569">
        <v>0</v>
      </c>
      <c r="O61" s="569"/>
      <c r="P61" s="569"/>
      <c r="Q61" s="570"/>
      <c r="R61" s="557"/>
      <c r="S61" s="603">
        <f>IF(D61="Commercial",1,0)</f>
        <v>0</v>
      </c>
      <c r="T61" s="599">
        <f>IF(D61="Residential",1,0)</f>
        <v>1</v>
      </c>
    </row>
    <row r="62" spans="1:20" ht="15">
      <c r="A62" s="1215"/>
      <c r="B62" s="564">
        <v>2</v>
      </c>
      <c r="C62" s="565" t="s">
        <v>1049</v>
      </c>
      <c r="D62" s="564" t="s">
        <v>770</v>
      </c>
      <c r="E62" s="696">
        <v>34988550</v>
      </c>
      <c r="F62" s="566">
        <v>2</v>
      </c>
      <c r="G62" s="566">
        <v>2</v>
      </c>
      <c r="H62" s="566">
        <v>4.9000000000000004</v>
      </c>
      <c r="I62" s="567">
        <v>2.1445792714936389</v>
      </c>
      <c r="J62" s="568">
        <v>1.4589116551573651</v>
      </c>
      <c r="K62" s="571">
        <v>0</v>
      </c>
      <c r="L62" s="571">
        <v>0.23727272727272725</v>
      </c>
      <c r="M62" s="571">
        <v>0.7627272727272727</v>
      </c>
      <c r="N62" s="571">
        <v>0</v>
      </c>
      <c r="O62" s="571"/>
      <c r="P62" s="571"/>
      <c r="Q62" s="572"/>
      <c r="R62" s="557"/>
      <c r="S62" s="603">
        <f t="shared" ref="S62:S100" si="8">IF(D62="Commercial",1,0)</f>
        <v>0</v>
      </c>
      <c r="T62" s="599">
        <f t="shared" ref="T62:T100" si="9">IF(D62="Residential",1,0)</f>
        <v>1</v>
      </c>
    </row>
    <row r="63" spans="1:20" ht="15">
      <c r="A63" s="1215"/>
      <c r="B63" s="564">
        <v>3</v>
      </c>
      <c r="C63" s="565" t="s">
        <v>1069</v>
      </c>
      <c r="D63" s="564" t="s">
        <v>770</v>
      </c>
      <c r="E63" s="696">
        <v>20022656</v>
      </c>
      <c r="F63" s="566">
        <v>6</v>
      </c>
      <c r="G63" s="566">
        <v>6</v>
      </c>
      <c r="H63" s="566">
        <v>6</v>
      </c>
      <c r="I63" s="567">
        <v>2.1382274410872029</v>
      </c>
      <c r="J63" s="568">
        <v>1.2579324779507752</v>
      </c>
      <c r="K63" s="571">
        <v>0.30705882352941172</v>
      </c>
      <c r="L63" s="571">
        <v>0.20470588235294118</v>
      </c>
      <c r="M63" s="571">
        <v>0.41470588235294126</v>
      </c>
      <c r="N63" s="571">
        <v>7.3529411764705899E-2</v>
      </c>
      <c r="O63" s="571"/>
      <c r="P63" s="571"/>
      <c r="Q63" s="572"/>
      <c r="R63" s="557"/>
      <c r="S63" s="603">
        <f t="shared" si="8"/>
        <v>0</v>
      </c>
      <c r="T63" s="599">
        <f t="shared" si="9"/>
        <v>1</v>
      </c>
    </row>
    <row r="64" spans="1:20" ht="15">
      <c r="A64" s="1215"/>
      <c r="B64" s="564">
        <v>4</v>
      </c>
      <c r="C64" s="565" t="s">
        <v>1052</v>
      </c>
      <c r="D64" s="564" t="s">
        <v>770</v>
      </c>
      <c r="E64" s="696">
        <v>14042770</v>
      </c>
      <c r="F64" s="566">
        <v>5</v>
      </c>
      <c r="G64" s="566">
        <v>5.333333333333333</v>
      </c>
      <c r="H64" s="566">
        <v>6</v>
      </c>
      <c r="I64" s="567">
        <v>2.0584434665647966</v>
      </c>
      <c r="J64" s="568">
        <v>1.3209883942842358</v>
      </c>
      <c r="K64" s="571">
        <v>0.60521739130434782</v>
      </c>
      <c r="L64" s="571">
        <v>0.18913043478260869</v>
      </c>
      <c r="M64" s="571">
        <v>0.20565217391304347</v>
      </c>
      <c r="N64" s="571">
        <v>0</v>
      </c>
      <c r="O64" s="571"/>
      <c r="P64" s="571"/>
      <c r="Q64" s="572"/>
      <c r="R64" s="557"/>
      <c r="S64" s="603">
        <f t="shared" si="8"/>
        <v>0</v>
      </c>
      <c r="T64" s="599">
        <f t="shared" si="9"/>
        <v>1</v>
      </c>
    </row>
    <row r="65" spans="1:20" ht="15">
      <c r="A65" s="1215"/>
      <c r="B65" s="564">
        <v>5</v>
      </c>
      <c r="C65" s="565" t="s">
        <v>1051</v>
      </c>
      <c r="D65" s="564" t="s">
        <v>770</v>
      </c>
      <c r="E65" s="696">
        <v>10980070</v>
      </c>
      <c r="F65" s="566">
        <v>5</v>
      </c>
      <c r="G65" s="566">
        <v>5.333333333333333</v>
      </c>
      <c r="H65" s="566">
        <v>6</v>
      </c>
      <c r="I65" s="567">
        <v>2.0584434665647966</v>
      </c>
      <c r="J65" s="568">
        <v>1.3209883942842358</v>
      </c>
      <c r="K65" s="571">
        <v>0.60521739130434782</v>
      </c>
      <c r="L65" s="571">
        <v>0.18913043478260869</v>
      </c>
      <c r="M65" s="571">
        <v>0.20565217391304347</v>
      </c>
      <c r="N65" s="571">
        <v>0</v>
      </c>
      <c r="O65" s="571"/>
      <c r="P65" s="571"/>
      <c r="Q65" s="572"/>
      <c r="R65" s="557"/>
      <c r="S65" s="603">
        <f t="shared" si="8"/>
        <v>0</v>
      </c>
      <c r="T65" s="599">
        <f t="shared" si="9"/>
        <v>1</v>
      </c>
    </row>
    <row r="66" spans="1:20" ht="15">
      <c r="A66" s="1215"/>
      <c r="B66" s="564">
        <v>6</v>
      </c>
      <c r="C66" s="565" t="s">
        <v>1046</v>
      </c>
      <c r="D66" s="564" t="s">
        <v>770</v>
      </c>
      <c r="E66" s="696">
        <v>10633500</v>
      </c>
      <c r="F66" s="566">
        <v>5</v>
      </c>
      <c r="G66" s="566">
        <v>5</v>
      </c>
      <c r="H66" s="566">
        <v>5</v>
      </c>
      <c r="I66" s="567">
        <v>2.1445792714936389</v>
      </c>
      <c r="J66" s="568">
        <v>1.4589116551573651</v>
      </c>
      <c r="K66" s="571">
        <v>0.30705882352941172</v>
      </c>
      <c r="L66" s="571">
        <v>0.20470588235294118</v>
      </c>
      <c r="M66" s="571">
        <v>0.41470588235294126</v>
      </c>
      <c r="N66" s="571">
        <v>7.3529411764705899E-2</v>
      </c>
      <c r="O66" s="571"/>
      <c r="P66" s="571"/>
      <c r="Q66" s="572"/>
      <c r="R66" s="557"/>
      <c r="S66" s="603">
        <f t="shared" si="8"/>
        <v>0</v>
      </c>
      <c r="T66" s="599">
        <f t="shared" si="9"/>
        <v>1</v>
      </c>
    </row>
    <row r="67" spans="1:20" ht="15">
      <c r="A67" s="1215"/>
      <c r="B67" s="564">
        <v>7</v>
      </c>
      <c r="C67" s="565" t="s">
        <v>1057</v>
      </c>
      <c r="D67" s="564" t="s">
        <v>770</v>
      </c>
      <c r="E67" s="696">
        <v>10386000</v>
      </c>
      <c r="F67" s="566">
        <v>3</v>
      </c>
      <c r="G67" s="566">
        <v>3</v>
      </c>
      <c r="H67" s="566">
        <v>3</v>
      </c>
      <c r="I67" s="567">
        <v>2.2730303617553296</v>
      </c>
      <c r="J67" s="568">
        <v>1.447651083752618</v>
      </c>
      <c r="K67" s="571">
        <v>0.30705882352941172</v>
      </c>
      <c r="L67" s="571">
        <v>0.20470588235294118</v>
      </c>
      <c r="M67" s="571">
        <v>0.41470588235294126</v>
      </c>
      <c r="N67" s="571">
        <v>7.3529411764705899E-2</v>
      </c>
      <c r="O67" s="571"/>
      <c r="P67" s="571"/>
      <c r="Q67" s="572"/>
      <c r="R67" s="557"/>
      <c r="S67" s="603">
        <f t="shared" si="8"/>
        <v>0</v>
      </c>
      <c r="T67" s="599">
        <f t="shared" si="9"/>
        <v>1</v>
      </c>
    </row>
    <row r="68" spans="1:20" ht="15">
      <c r="A68" s="1215"/>
      <c r="B68" s="564">
        <v>8</v>
      </c>
      <c r="C68" s="565" t="s">
        <v>1084</v>
      </c>
      <c r="D68" s="564" t="s">
        <v>770</v>
      </c>
      <c r="E68" s="696">
        <v>8656000</v>
      </c>
      <c r="F68" s="566">
        <v>3.25</v>
      </c>
      <c r="G68" s="566">
        <v>4.125</v>
      </c>
      <c r="H68" s="566">
        <v>5</v>
      </c>
      <c r="I68" s="567">
        <v>1.9986022566199177</v>
      </c>
      <c r="J68" s="568">
        <v>1.2252368435607179</v>
      </c>
      <c r="K68" s="571">
        <v>0</v>
      </c>
      <c r="L68" s="571">
        <v>0</v>
      </c>
      <c r="M68" s="571">
        <v>0.75</v>
      </c>
      <c r="N68" s="571">
        <v>0.25</v>
      </c>
      <c r="O68" s="571"/>
      <c r="P68" s="571"/>
      <c r="Q68" s="572"/>
      <c r="R68" s="557"/>
      <c r="S68" s="603">
        <f t="shared" si="8"/>
        <v>0</v>
      </c>
      <c r="T68" s="599">
        <f t="shared" si="9"/>
        <v>1</v>
      </c>
    </row>
    <row r="69" spans="1:20" ht="15">
      <c r="A69" s="1215"/>
      <c r="B69" s="564">
        <v>9</v>
      </c>
      <c r="C69" s="565" t="s">
        <v>1115</v>
      </c>
      <c r="D69" s="564" t="s">
        <v>771</v>
      </c>
      <c r="E69" s="696">
        <v>7539120</v>
      </c>
      <c r="F69" s="566">
        <v>1.5</v>
      </c>
      <c r="G69" s="566">
        <v>2</v>
      </c>
      <c r="H69" s="566">
        <v>4</v>
      </c>
      <c r="I69" s="567">
        <v>2.1445792714936389</v>
      </c>
      <c r="J69" s="568">
        <v>1.4589116551573651</v>
      </c>
      <c r="K69" s="571">
        <v>0</v>
      </c>
      <c r="L69" s="571">
        <v>0.23727272727272725</v>
      </c>
      <c r="M69" s="571">
        <v>0.7627272727272727</v>
      </c>
      <c r="N69" s="571">
        <v>0</v>
      </c>
      <c r="O69" s="571"/>
      <c r="P69" s="571"/>
      <c r="Q69" s="572"/>
      <c r="R69" s="557"/>
      <c r="S69" s="603">
        <f t="shared" si="8"/>
        <v>1</v>
      </c>
      <c r="T69" s="599">
        <f t="shared" si="9"/>
        <v>0</v>
      </c>
    </row>
    <row r="70" spans="1:20" ht="15">
      <c r="A70" s="1215"/>
      <c r="B70" s="564">
        <v>10</v>
      </c>
      <c r="C70" s="565" t="s">
        <v>1114</v>
      </c>
      <c r="D70" s="564" t="s">
        <v>771</v>
      </c>
      <c r="E70" s="696">
        <v>7396800</v>
      </c>
      <c r="F70" s="566">
        <v>5</v>
      </c>
      <c r="G70" s="566">
        <v>5</v>
      </c>
      <c r="H70" s="566">
        <v>5</v>
      </c>
      <c r="I70" s="567">
        <v>2.1445792714936389</v>
      </c>
      <c r="J70" s="568">
        <v>1.4589116551573651</v>
      </c>
      <c r="K70" s="571">
        <v>0.30705882352941172</v>
      </c>
      <c r="L70" s="571">
        <v>0.20470588235294118</v>
      </c>
      <c r="M70" s="571">
        <v>0.41470588235294126</v>
      </c>
      <c r="N70" s="571">
        <v>7.3529411764705899E-2</v>
      </c>
      <c r="O70" s="571"/>
      <c r="P70" s="571"/>
      <c r="Q70" s="572"/>
      <c r="R70" s="557"/>
      <c r="S70" s="603">
        <f t="shared" si="8"/>
        <v>1</v>
      </c>
      <c r="T70" s="599">
        <f t="shared" si="9"/>
        <v>0</v>
      </c>
    </row>
    <row r="71" spans="1:20" ht="15">
      <c r="A71" s="1215"/>
      <c r="B71" s="564">
        <v>11</v>
      </c>
      <c r="C71" s="565" t="s">
        <v>1033</v>
      </c>
      <c r="D71" s="564" t="s">
        <v>770</v>
      </c>
      <c r="E71" s="696">
        <v>6634130.5800000001</v>
      </c>
      <c r="F71" s="566">
        <v>4</v>
      </c>
      <c r="G71" s="566">
        <v>4</v>
      </c>
      <c r="H71" s="566">
        <v>4</v>
      </c>
      <c r="I71" s="567">
        <v>1.8860561874586299</v>
      </c>
      <c r="J71" s="568">
        <v>1.3064354950763004</v>
      </c>
      <c r="K71" s="571">
        <v>0</v>
      </c>
      <c r="L71" s="571">
        <v>0.32624999999999998</v>
      </c>
      <c r="M71" s="571">
        <v>0.67374999999999996</v>
      </c>
      <c r="N71" s="571">
        <v>0</v>
      </c>
      <c r="O71" s="571"/>
      <c r="P71" s="571"/>
      <c r="Q71" s="572"/>
      <c r="R71" s="557"/>
      <c r="S71" s="603">
        <f t="shared" si="8"/>
        <v>0</v>
      </c>
      <c r="T71" s="599">
        <f t="shared" si="9"/>
        <v>1</v>
      </c>
    </row>
    <row r="72" spans="1:20" ht="15">
      <c r="A72" s="1215"/>
      <c r="B72" s="564">
        <v>12</v>
      </c>
      <c r="C72" s="565" t="s">
        <v>1116</v>
      </c>
      <c r="D72" s="564" t="s">
        <v>771</v>
      </c>
      <c r="E72" s="696">
        <v>6174450</v>
      </c>
      <c r="F72" s="566">
        <v>2</v>
      </c>
      <c r="G72" s="566">
        <v>2</v>
      </c>
      <c r="H72" s="566">
        <v>4.9000000000000004</v>
      </c>
      <c r="I72" s="567">
        <v>2.1445792714936389</v>
      </c>
      <c r="J72" s="568">
        <v>1.4589116551573651</v>
      </c>
      <c r="K72" s="571">
        <v>0</v>
      </c>
      <c r="L72" s="571">
        <v>0.23727272727272725</v>
      </c>
      <c r="M72" s="571">
        <v>0.7627272727272727</v>
      </c>
      <c r="N72" s="571">
        <v>0</v>
      </c>
      <c r="O72" s="571"/>
      <c r="P72" s="571"/>
      <c r="Q72" s="572"/>
      <c r="R72" s="557"/>
      <c r="S72" s="603">
        <f t="shared" si="8"/>
        <v>1</v>
      </c>
      <c r="T72" s="599">
        <f t="shared" si="9"/>
        <v>0</v>
      </c>
    </row>
    <row r="73" spans="1:20" ht="15">
      <c r="A73" s="1215"/>
      <c r="B73" s="564">
        <v>13</v>
      </c>
      <c r="C73" s="565" t="s">
        <v>1058</v>
      </c>
      <c r="D73" s="564" t="s">
        <v>770</v>
      </c>
      <c r="E73" s="696">
        <v>4501670</v>
      </c>
      <c r="F73" s="566">
        <v>5</v>
      </c>
      <c r="G73" s="566">
        <v>5</v>
      </c>
      <c r="H73" s="566">
        <v>5</v>
      </c>
      <c r="I73" s="567">
        <v>2.2730303617553296</v>
      </c>
      <c r="J73" s="568">
        <v>1.447651083752618</v>
      </c>
      <c r="K73" s="571">
        <v>0.30705882352941172</v>
      </c>
      <c r="L73" s="571">
        <v>0.20470588235294118</v>
      </c>
      <c r="M73" s="571">
        <v>0.41470588235294126</v>
      </c>
      <c r="N73" s="571">
        <v>7.3529411764705899E-2</v>
      </c>
      <c r="O73" s="571"/>
      <c r="P73" s="571"/>
      <c r="Q73" s="572"/>
      <c r="R73" s="557"/>
      <c r="S73" s="603">
        <f t="shared" si="8"/>
        <v>0</v>
      </c>
      <c r="T73" s="599">
        <f t="shared" si="9"/>
        <v>1</v>
      </c>
    </row>
    <row r="74" spans="1:20" ht="15">
      <c r="A74" s="1215"/>
      <c r="B74" s="564">
        <v>14</v>
      </c>
      <c r="C74" s="565" t="s">
        <v>1062</v>
      </c>
      <c r="D74" s="564" t="s">
        <v>770</v>
      </c>
      <c r="E74" s="696">
        <v>4219178.0821917811</v>
      </c>
      <c r="F74" s="566">
        <v>10</v>
      </c>
      <c r="G74" s="566">
        <v>10</v>
      </c>
      <c r="H74" s="566">
        <v>10</v>
      </c>
      <c r="I74" s="567">
        <v>2.0986375819090441</v>
      </c>
      <c r="J74" s="568">
        <v>1.3375573102673859</v>
      </c>
      <c r="K74" s="571">
        <v>0.30705882352941172</v>
      </c>
      <c r="L74" s="571">
        <v>0.20470588235294118</v>
      </c>
      <c r="M74" s="571">
        <v>0.41470588235294126</v>
      </c>
      <c r="N74" s="571">
        <v>7.3529411764705899E-2</v>
      </c>
      <c r="O74" s="571"/>
      <c r="P74" s="571"/>
      <c r="Q74" s="572"/>
      <c r="R74" s="557"/>
      <c r="S74" s="603">
        <f t="shared" si="8"/>
        <v>0</v>
      </c>
      <c r="T74" s="599">
        <f t="shared" si="9"/>
        <v>1</v>
      </c>
    </row>
    <row r="75" spans="1:20" ht="15">
      <c r="A75" s="1215"/>
      <c r="B75" s="564">
        <v>15</v>
      </c>
      <c r="C75" s="565" t="s">
        <v>1030</v>
      </c>
      <c r="D75" s="564" t="s">
        <v>770</v>
      </c>
      <c r="E75" s="696">
        <v>4010100</v>
      </c>
      <c r="F75" s="566">
        <v>4</v>
      </c>
      <c r="G75" s="566">
        <v>4</v>
      </c>
      <c r="H75" s="566">
        <v>4</v>
      </c>
      <c r="I75" s="567">
        <v>2.1098184810011325</v>
      </c>
      <c r="J75" s="568">
        <v>1.3360200985041808</v>
      </c>
      <c r="K75" s="571">
        <v>0.435</v>
      </c>
      <c r="L75" s="571">
        <v>0.34800000000000003</v>
      </c>
      <c r="M75" s="571">
        <v>0.21700000000000003</v>
      </c>
      <c r="N75" s="571">
        <v>0</v>
      </c>
      <c r="O75" s="571"/>
      <c r="P75" s="571"/>
      <c r="Q75" s="572"/>
      <c r="R75" s="557"/>
      <c r="S75" s="603">
        <f t="shared" si="8"/>
        <v>0</v>
      </c>
      <c r="T75" s="599">
        <f t="shared" si="9"/>
        <v>1</v>
      </c>
    </row>
    <row r="76" spans="1:20" ht="15">
      <c r="A76" s="1215"/>
      <c r="B76" s="564">
        <v>16</v>
      </c>
      <c r="C76" s="565" t="s">
        <v>1047</v>
      </c>
      <c r="D76" s="564" t="s">
        <v>770</v>
      </c>
      <c r="E76" s="696">
        <v>3643199.9999999995</v>
      </c>
      <c r="F76" s="566">
        <v>5</v>
      </c>
      <c r="G76" s="566">
        <v>5</v>
      </c>
      <c r="H76" s="566">
        <v>5</v>
      </c>
      <c r="I76" s="567">
        <v>2.1445792714936389</v>
      </c>
      <c r="J76" s="568">
        <v>1.4589116551573651</v>
      </c>
      <c r="K76" s="571">
        <v>0.30705882352941172</v>
      </c>
      <c r="L76" s="571">
        <v>0.20470588235294118</v>
      </c>
      <c r="M76" s="571">
        <v>0.41470588235294126</v>
      </c>
      <c r="N76" s="571">
        <v>7.3529411764705899E-2</v>
      </c>
      <c r="O76" s="571"/>
      <c r="P76" s="571"/>
      <c r="Q76" s="572"/>
      <c r="R76" s="557"/>
      <c r="S76" s="603">
        <f t="shared" si="8"/>
        <v>0</v>
      </c>
      <c r="T76" s="599">
        <f t="shared" si="9"/>
        <v>1</v>
      </c>
    </row>
    <row r="77" spans="1:20" ht="15">
      <c r="A77" s="1215"/>
      <c r="B77" s="564">
        <v>17</v>
      </c>
      <c r="C77" s="565" t="s">
        <v>1054</v>
      </c>
      <c r="D77" s="564" t="s">
        <v>770</v>
      </c>
      <c r="E77" s="696">
        <v>3400000</v>
      </c>
      <c r="F77" s="566">
        <v>4</v>
      </c>
      <c r="G77" s="566">
        <v>4</v>
      </c>
      <c r="H77" s="566">
        <v>4</v>
      </c>
      <c r="I77" s="567">
        <v>2.1747396831740726</v>
      </c>
      <c r="J77" s="567">
        <v>1.3333567987466031</v>
      </c>
      <c r="K77" s="567">
        <v>0.30705882352941172</v>
      </c>
      <c r="L77" s="567">
        <v>0.20470588235294118</v>
      </c>
      <c r="M77" s="567">
        <v>0.41470588235294126</v>
      </c>
      <c r="N77" s="567">
        <v>7.3529411764705899E-2</v>
      </c>
      <c r="O77" s="564"/>
      <c r="P77" s="564"/>
      <c r="Q77" s="573"/>
      <c r="R77" s="557"/>
      <c r="S77" s="603">
        <f t="shared" si="8"/>
        <v>0</v>
      </c>
      <c r="T77" s="599">
        <f t="shared" si="9"/>
        <v>1</v>
      </c>
    </row>
    <row r="78" spans="1:20" ht="15">
      <c r="A78" s="1215"/>
      <c r="B78" s="564">
        <v>18</v>
      </c>
      <c r="C78" s="565" t="s">
        <v>1044</v>
      </c>
      <c r="D78" s="564" t="s">
        <v>770</v>
      </c>
      <c r="E78" s="696">
        <v>3161250</v>
      </c>
      <c r="F78" s="566">
        <v>4.9000000000000004</v>
      </c>
      <c r="G78" s="566">
        <v>4.9000000000000004</v>
      </c>
      <c r="H78" s="566">
        <v>4.9000000000000004</v>
      </c>
      <c r="I78" s="567">
        <v>2.6014241494118679</v>
      </c>
      <c r="J78" s="567">
        <v>1.6891138029720172</v>
      </c>
      <c r="K78" s="567">
        <v>0.2175</v>
      </c>
      <c r="L78" s="567">
        <v>0.435</v>
      </c>
      <c r="M78" s="567">
        <v>0.34750000000000003</v>
      </c>
      <c r="N78" s="567">
        <v>0</v>
      </c>
      <c r="O78" s="564"/>
      <c r="P78" s="564"/>
      <c r="Q78" s="573"/>
      <c r="R78" s="557"/>
      <c r="S78" s="603">
        <f t="shared" si="8"/>
        <v>0</v>
      </c>
      <c r="T78" s="599">
        <f t="shared" si="9"/>
        <v>1</v>
      </c>
    </row>
    <row r="79" spans="1:20" ht="15">
      <c r="A79" s="1215"/>
      <c r="B79" s="564">
        <v>19</v>
      </c>
      <c r="C79" s="565" t="s">
        <v>1118</v>
      </c>
      <c r="D79" s="564" t="s">
        <v>771</v>
      </c>
      <c r="E79" s="696">
        <v>2876230</v>
      </c>
      <c r="F79" s="566">
        <v>5</v>
      </c>
      <c r="G79" s="566">
        <v>5.333333333333333</v>
      </c>
      <c r="H79" s="566">
        <v>6</v>
      </c>
      <c r="I79" s="567">
        <v>2.0584434665647966</v>
      </c>
      <c r="J79" s="567">
        <v>1.3209883942842358</v>
      </c>
      <c r="K79" s="567">
        <v>0.60521739130434782</v>
      </c>
      <c r="L79" s="567">
        <v>0.18913043478260869</v>
      </c>
      <c r="M79" s="567">
        <v>0.20565217391304347</v>
      </c>
      <c r="N79" s="567">
        <v>0</v>
      </c>
      <c r="O79" s="564"/>
      <c r="P79" s="564"/>
      <c r="Q79" s="573"/>
      <c r="R79" s="557"/>
      <c r="S79" s="603">
        <f t="shared" si="8"/>
        <v>1</v>
      </c>
      <c r="T79" s="599">
        <f t="shared" si="9"/>
        <v>0</v>
      </c>
    </row>
    <row r="80" spans="1:20" ht="15">
      <c r="A80" s="1215"/>
      <c r="B80" s="564">
        <v>20</v>
      </c>
      <c r="C80" s="565" t="s">
        <v>1082</v>
      </c>
      <c r="D80" s="564" t="s">
        <v>770</v>
      </c>
      <c r="E80" s="696">
        <v>2350000</v>
      </c>
      <c r="F80" s="566">
        <v>4</v>
      </c>
      <c r="G80" s="566">
        <v>4.5</v>
      </c>
      <c r="H80" s="566">
        <v>5</v>
      </c>
      <c r="I80" s="567">
        <v>1.9986022566199177</v>
      </c>
      <c r="J80" s="567">
        <v>1.2252368435607179</v>
      </c>
      <c r="K80" s="567">
        <v>0.30705882352941172</v>
      </c>
      <c r="L80" s="567">
        <v>0.20470588235294118</v>
      </c>
      <c r="M80" s="567">
        <v>0.41470588235294126</v>
      </c>
      <c r="N80" s="567">
        <v>7.3529411764705899E-2</v>
      </c>
      <c r="O80" s="564"/>
      <c r="P80" s="564"/>
      <c r="Q80" s="573"/>
      <c r="R80" s="557"/>
      <c r="S80" s="603">
        <f t="shared" si="8"/>
        <v>0</v>
      </c>
      <c r="T80" s="599">
        <f t="shared" si="9"/>
        <v>1</v>
      </c>
    </row>
    <row r="81" spans="1:20" ht="15">
      <c r="A81" s="1215"/>
      <c r="B81" s="564">
        <v>21</v>
      </c>
      <c r="C81" s="565" t="s">
        <v>1117</v>
      </c>
      <c r="D81" s="564" t="s">
        <v>771</v>
      </c>
      <c r="E81" s="696">
        <v>2248930</v>
      </c>
      <c r="F81" s="566">
        <v>5</v>
      </c>
      <c r="G81" s="566">
        <v>5.333333333333333</v>
      </c>
      <c r="H81" s="566">
        <v>6</v>
      </c>
      <c r="I81" s="567">
        <v>2.0584434665647966</v>
      </c>
      <c r="J81" s="567">
        <v>1.3209883942842358</v>
      </c>
      <c r="K81" s="567">
        <v>0.60521739130434782</v>
      </c>
      <c r="L81" s="567">
        <v>0.18913043478260869</v>
      </c>
      <c r="M81" s="567">
        <v>0.20565217391304347</v>
      </c>
      <c r="N81" s="567">
        <v>0</v>
      </c>
      <c r="O81" s="564"/>
      <c r="P81" s="564"/>
      <c r="Q81" s="573"/>
      <c r="R81" s="557"/>
      <c r="S81" s="603">
        <f t="shared" si="8"/>
        <v>1</v>
      </c>
      <c r="T81" s="599">
        <f t="shared" si="9"/>
        <v>0</v>
      </c>
    </row>
    <row r="82" spans="1:20" ht="15">
      <c r="A82" s="1215"/>
      <c r="B82" s="564">
        <v>22</v>
      </c>
      <c r="C82" s="565" t="s">
        <v>1089</v>
      </c>
      <c r="D82" s="564" t="s">
        <v>770</v>
      </c>
      <c r="E82" s="696">
        <v>2220625</v>
      </c>
      <c r="F82" s="566">
        <v>5</v>
      </c>
      <c r="G82" s="566">
        <v>5.8999999999999995</v>
      </c>
      <c r="H82" s="566">
        <v>7.7</v>
      </c>
      <c r="I82" s="567">
        <v>2.1399643403563062</v>
      </c>
      <c r="J82" s="567">
        <v>1.3424833386732682</v>
      </c>
      <c r="K82" s="567">
        <v>0.17399999999999996</v>
      </c>
      <c r="L82" s="567">
        <v>0.52200000000000002</v>
      </c>
      <c r="M82" s="567">
        <v>0.30400000000000005</v>
      </c>
      <c r="N82" s="567">
        <v>0</v>
      </c>
      <c r="O82" s="564"/>
      <c r="P82" s="564"/>
      <c r="Q82" s="573"/>
      <c r="R82" s="557"/>
      <c r="S82" s="603">
        <f t="shared" si="8"/>
        <v>0</v>
      </c>
      <c r="T82" s="599">
        <f t="shared" si="9"/>
        <v>1</v>
      </c>
    </row>
    <row r="83" spans="1:20" ht="15">
      <c r="A83" s="1215"/>
      <c r="B83" s="564">
        <v>23</v>
      </c>
      <c r="C83" s="565" t="s">
        <v>1113</v>
      </c>
      <c r="D83" s="564" t="s">
        <v>771</v>
      </c>
      <c r="E83" s="696">
        <v>1876500</v>
      </c>
      <c r="F83" s="566">
        <v>5</v>
      </c>
      <c r="G83" s="566">
        <v>5</v>
      </c>
      <c r="H83" s="566">
        <v>5</v>
      </c>
      <c r="I83" s="567">
        <v>2.1445792714936389</v>
      </c>
      <c r="J83" s="567">
        <v>1.4589116551573651</v>
      </c>
      <c r="K83" s="567">
        <v>0.30705882352941172</v>
      </c>
      <c r="L83" s="567">
        <v>0.20470588235294118</v>
      </c>
      <c r="M83" s="567">
        <v>0.41470588235294126</v>
      </c>
      <c r="N83" s="567">
        <v>7.3529411764705899E-2</v>
      </c>
      <c r="O83" s="564"/>
      <c r="P83" s="564"/>
      <c r="Q83" s="573"/>
      <c r="R83" s="557"/>
      <c r="S83" s="603">
        <f t="shared" si="8"/>
        <v>1</v>
      </c>
      <c r="T83" s="599">
        <f t="shared" si="9"/>
        <v>0</v>
      </c>
    </row>
    <row r="84" spans="1:20" ht="15">
      <c r="A84" s="1215"/>
      <c r="B84" s="564">
        <v>24</v>
      </c>
      <c r="C84" s="565" t="s">
        <v>1041</v>
      </c>
      <c r="D84" s="564" t="s">
        <v>770</v>
      </c>
      <c r="E84" s="696">
        <v>1760000</v>
      </c>
      <c r="F84" s="566">
        <v>4.9000000000000004</v>
      </c>
      <c r="G84" s="566">
        <v>4.9000000000000004</v>
      </c>
      <c r="H84" s="566">
        <v>4.9000000000000004</v>
      </c>
      <c r="I84" s="567">
        <v>2.1747396831740726</v>
      </c>
      <c r="J84" s="567">
        <v>1.3333567987466031</v>
      </c>
      <c r="K84" s="567">
        <v>0.30705882352941172</v>
      </c>
      <c r="L84" s="567">
        <v>0.20470588235294118</v>
      </c>
      <c r="M84" s="567">
        <v>0.41470588235294126</v>
      </c>
      <c r="N84" s="567">
        <v>7.3529411764705899E-2</v>
      </c>
      <c r="O84" s="564"/>
      <c r="P84" s="564"/>
      <c r="Q84" s="573"/>
      <c r="R84" s="557"/>
      <c r="S84" s="603">
        <f t="shared" si="8"/>
        <v>0</v>
      </c>
      <c r="T84" s="599">
        <f t="shared" si="9"/>
        <v>1</v>
      </c>
    </row>
    <row r="85" spans="1:20" ht="15">
      <c r="A85" s="1215"/>
      <c r="B85" s="564">
        <v>25</v>
      </c>
      <c r="C85" s="565" t="s">
        <v>1083</v>
      </c>
      <c r="D85" s="564" t="s">
        <v>770</v>
      </c>
      <c r="E85" s="696">
        <v>1516968.5</v>
      </c>
      <c r="F85" s="566">
        <v>5</v>
      </c>
      <c r="G85" s="566">
        <v>5</v>
      </c>
      <c r="H85" s="566">
        <v>5</v>
      </c>
      <c r="I85" s="567">
        <v>1.9986022566199177</v>
      </c>
      <c r="J85" s="567">
        <v>1.2252368435607179</v>
      </c>
      <c r="K85" s="567">
        <v>0.30705882352941172</v>
      </c>
      <c r="L85" s="567">
        <v>0.20470588235294118</v>
      </c>
      <c r="M85" s="567">
        <v>0.41470588235294126</v>
      </c>
      <c r="N85" s="567">
        <v>7.3529411764705899E-2</v>
      </c>
      <c r="O85" s="564"/>
      <c r="P85" s="564"/>
      <c r="Q85" s="573"/>
      <c r="R85" s="557"/>
      <c r="S85" s="603">
        <f t="shared" si="8"/>
        <v>0</v>
      </c>
      <c r="T85" s="599">
        <f t="shared" si="9"/>
        <v>1</v>
      </c>
    </row>
    <row r="86" spans="1:20" ht="15">
      <c r="A86" s="1215"/>
      <c r="B86" s="564">
        <v>26</v>
      </c>
      <c r="C86" s="565" t="s">
        <v>1027</v>
      </c>
      <c r="D86" s="564" t="s">
        <v>770</v>
      </c>
      <c r="E86" s="697">
        <v>1385850</v>
      </c>
      <c r="F86" s="695">
        <v>4</v>
      </c>
      <c r="G86" s="695">
        <v>4</v>
      </c>
      <c r="H86" s="695">
        <v>4</v>
      </c>
      <c r="I86" s="693">
        <v>2.1098184810011325</v>
      </c>
      <c r="J86" s="693">
        <v>1.3360200985041808</v>
      </c>
      <c r="K86" s="693">
        <v>0.30705882352941172</v>
      </c>
      <c r="L86" s="693">
        <v>0.20470588235294118</v>
      </c>
      <c r="M86" s="693">
        <v>0.41470588235294126</v>
      </c>
      <c r="N86" s="693">
        <v>7.3529411764705899E-2</v>
      </c>
      <c r="O86" s="574"/>
      <c r="P86" s="574"/>
      <c r="Q86" s="575"/>
      <c r="R86" s="557"/>
      <c r="S86" s="603">
        <f t="shared" si="8"/>
        <v>0</v>
      </c>
      <c r="T86" s="599">
        <f t="shared" si="9"/>
        <v>1</v>
      </c>
    </row>
    <row r="87" spans="1:20" ht="15">
      <c r="A87" s="1215"/>
      <c r="B87" s="564">
        <v>27</v>
      </c>
      <c r="C87" s="565" t="s">
        <v>1119</v>
      </c>
      <c r="D87" s="564" t="s">
        <v>771</v>
      </c>
      <c r="E87" s="697">
        <v>1053824</v>
      </c>
      <c r="F87" s="695">
        <v>6</v>
      </c>
      <c r="G87" s="695">
        <v>6</v>
      </c>
      <c r="H87" s="695">
        <v>6</v>
      </c>
      <c r="I87" s="693">
        <v>2.1382274410872029</v>
      </c>
      <c r="J87" s="693">
        <v>1.2579324779507752</v>
      </c>
      <c r="K87" s="693">
        <v>0.30705882352941172</v>
      </c>
      <c r="L87" s="693">
        <v>0.20470588235294118</v>
      </c>
      <c r="M87" s="693">
        <v>0.41470588235294126</v>
      </c>
      <c r="N87" s="693">
        <v>7.3529411764705899E-2</v>
      </c>
      <c r="O87" s="574"/>
      <c r="P87" s="574"/>
      <c r="Q87" s="575"/>
      <c r="R87" s="557"/>
      <c r="S87" s="603">
        <f t="shared" si="8"/>
        <v>1</v>
      </c>
      <c r="T87" s="599">
        <f t="shared" si="9"/>
        <v>0</v>
      </c>
    </row>
    <row r="88" spans="1:20" ht="15">
      <c r="A88" s="1215"/>
      <c r="B88" s="564">
        <v>28</v>
      </c>
      <c r="C88" s="565" t="s">
        <v>1111</v>
      </c>
      <c r="D88" s="564" t="s">
        <v>771</v>
      </c>
      <c r="E88" s="697">
        <v>787597.25000000012</v>
      </c>
      <c r="F88" s="695">
        <v>2</v>
      </c>
      <c r="G88" s="695">
        <v>3.6333333333333333</v>
      </c>
      <c r="H88" s="695">
        <v>4.9000000000000004</v>
      </c>
      <c r="I88" s="693">
        <v>1.8860561874586299</v>
      </c>
      <c r="J88" s="693">
        <v>1.3064354950763004</v>
      </c>
      <c r="K88" s="693">
        <v>0.30705882352941172</v>
      </c>
      <c r="L88" s="693">
        <v>0.20470588235294118</v>
      </c>
      <c r="M88" s="693">
        <v>0.41470588235294126</v>
      </c>
      <c r="N88" s="693">
        <v>7.3529411764705899E-2</v>
      </c>
      <c r="O88" s="574"/>
      <c r="P88" s="574"/>
      <c r="Q88" s="575"/>
      <c r="R88" s="557"/>
      <c r="S88" s="603">
        <f t="shared" si="8"/>
        <v>1</v>
      </c>
      <c r="T88" s="599">
        <f t="shared" si="9"/>
        <v>0</v>
      </c>
    </row>
    <row r="89" spans="1:20" ht="15">
      <c r="A89" s="1215"/>
      <c r="B89" s="564">
        <v>29</v>
      </c>
      <c r="C89" s="565" t="s">
        <v>1103</v>
      </c>
      <c r="D89" s="564" t="s">
        <v>771</v>
      </c>
      <c r="E89" s="697">
        <v>737125.62000000011</v>
      </c>
      <c r="F89" s="695">
        <v>4</v>
      </c>
      <c r="G89" s="695">
        <v>4</v>
      </c>
      <c r="H89" s="695">
        <v>4</v>
      </c>
      <c r="I89" s="693">
        <v>1.8860561874586299</v>
      </c>
      <c r="J89" s="693">
        <v>1.3064354950763004</v>
      </c>
      <c r="K89" s="693">
        <v>0</v>
      </c>
      <c r="L89" s="693">
        <v>0.32624999999999998</v>
      </c>
      <c r="M89" s="693">
        <v>0.67374999999999996</v>
      </c>
      <c r="N89" s="693">
        <v>0</v>
      </c>
      <c r="O89" s="574"/>
      <c r="P89" s="574"/>
      <c r="Q89" s="575"/>
      <c r="R89" s="557"/>
      <c r="S89" s="603">
        <f t="shared" si="8"/>
        <v>1</v>
      </c>
      <c r="T89" s="599">
        <f t="shared" si="9"/>
        <v>0</v>
      </c>
    </row>
    <row r="90" spans="1:20" ht="15">
      <c r="A90" s="1215"/>
      <c r="B90" s="564">
        <v>30</v>
      </c>
      <c r="C90" s="565" t="s">
        <v>1042</v>
      </c>
      <c r="D90" s="564" t="s">
        <v>770</v>
      </c>
      <c r="E90" s="697">
        <v>644397.74999999988</v>
      </c>
      <c r="F90" s="695">
        <v>2</v>
      </c>
      <c r="G90" s="695">
        <v>3.6333333333333333</v>
      </c>
      <c r="H90" s="695">
        <v>4.9000000000000004</v>
      </c>
      <c r="I90" s="693">
        <v>1.8860561874586299</v>
      </c>
      <c r="J90" s="693">
        <v>1.3064354950763004</v>
      </c>
      <c r="K90" s="693">
        <v>0.30705882352941172</v>
      </c>
      <c r="L90" s="693">
        <v>0.20470588235294118</v>
      </c>
      <c r="M90" s="693">
        <v>0.41470588235294126</v>
      </c>
      <c r="N90" s="693">
        <v>7.3529411764705899E-2</v>
      </c>
      <c r="O90" s="574"/>
      <c r="P90" s="574"/>
      <c r="Q90" s="575"/>
      <c r="R90" s="557"/>
      <c r="S90" s="603">
        <f t="shared" si="8"/>
        <v>0</v>
      </c>
      <c r="T90" s="599">
        <f t="shared" si="9"/>
        <v>1</v>
      </c>
    </row>
    <row r="91" spans="1:20" ht="15">
      <c r="A91" s="1215"/>
      <c r="B91" s="564">
        <v>31</v>
      </c>
      <c r="C91" s="565" t="s">
        <v>1029</v>
      </c>
      <c r="D91" s="564" t="s">
        <v>770</v>
      </c>
      <c r="E91" s="696">
        <v>500000</v>
      </c>
      <c r="F91" s="566">
        <v>4</v>
      </c>
      <c r="G91" s="566">
        <v>4</v>
      </c>
      <c r="H91" s="566">
        <v>4</v>
      </c>
      <c r="I91" s="567">
        <v>2.1098184810011325</v>
      </c>
      <c r="J91" s="567">
        <v>1.3360200985041808</v>
      </c>
      <c r="K91" s="567">
        <v>0.30705882352941172</v>
      </c>
      <c r="L91" s="567">
        <v>0.20470588235294118</v>
      </c>
      <c r="M91" s="567">
        <v>0.41470588235294126</v>
      </c>
      <c r="N91" s="567">
        <v>7.3529411764705899E-2</v>
      </c>
      <c r="O91" s="564"/>
      <c r="P91" s="564"/>
      <c r="Q91" s="573"/>
      <c r="R91" s="557"/>
      <c r="S91" s="603">
        <f t="shared" si="8"/>
        <v>0</v>
      </c>
      <c r="T91" s="599">
        <f t="shared" si="9"/>
        <v>1</v>
      </c>
    </row>
    <row r="92" spans="1:20" ht="15">
      <c r="A92" s="1215"/>
      <c r="B92" s="564">
        <v>32</v>
      </c>
      <c r="C92" s="565" t="s">
        <v>1066</v>
      </c>
      <c r="D92" s="564" t="s">
        <v>770</v>
      </c>
      <c r="E92" s="696">
        <v>285169.5</v>
      </c>
      <c r="F92" s="566">
        <v>4</v>
      </c>
      <c r="G92" s="566">
        <v>5</v>
      </c>
      <c r="H92" s="566">
        <v>6</v>
      </c>
      <c r="I92" s="567">
        <v>2.1747396831740726</v>
      </c>
      <c r="J92" s="567">
        <v>1.3333567987466031</v>
      </c>
      <c r="K92" s="567">
        <v>0.18454545454545451</v>
      </c>
      <c r="L92" s="567">
        <v>0.60636363636363644</v>
      </c>
      <c r="M92" s="567">
        <v>0.20909090909090911</v>
      </c>
      <c r="N92" s="567">
        <v>0</v>
      </c>
      <c r="O92" s="564"/>
      <c r="P92" s="564"/>
      <c r="Q92" s="573"/>
      <c r="R92" s="557"/>
      <c r="S92" s="603">
        <f t="shared" si="8"/>
        <v>0</v>
      </c>
      <c r="T92" s="599">
        <f t="shared" si="9"/>
        <v>1</v>
      </c>
    </row>
    <row r="93" spans="1:20" ht="15">
      <c r="A93" s="1215"/>
      <c r="B93" s="564">
        <v>33</v>
      </c>
      <c r="C93" s="565" t="s">
        <v>1031</v>
      </c>
      <c r="D93" s="564" t="s">
        <v>770</v>
      </c>
      <c r="E93" s="696">
        <v>122499.99999999999</v>
      </c>
      <c r="F93" s="566">
        <v>4</v>
      </c>
      <c r="G93" s="566">
        <v>4.45</v>
      </c>
      <c r="H93" s="566">
        <v>4.9000000000000004</v>
      </c>
      <c r="I93" s="567">
        <v>1.8860561874586299</v>
      </c>
      <c r="J93" s="567">
        <v>1.3064354950763004</v>
      </c>
      <c r="K93" s="567">
        <v>0.30705882352941172</v>
      </c>
      <c r="L93" s="567">
        <v>0.20470588235294118</v>
      </c>
      <c r="M93" s="567">
        <v>0.41470588235294126</v>
      </c>
      <c r="N93" s="567">
        <v>7.3529411764705899E-2</v>
      </c>
      <c r="O93" s="564"/>
      <c r="P93" s="564"/>
      <c r="Q93" s="573"/>
      <c r="R93" s="557"/>
      <c r="S93" s="603">
        <f t="shared" si="8"/>
        <v>0</v>
      </c>
      <c r="T93" s="599">
        <f t="shared" si="9"/>
        <v>1</v>
      </c>
    </row>
    <row r="94" spans="1:20" ht="15">
      <c r="A94" s="1215"/>
      <c r="B94" s="564">
        <v>34</v>
      </c>
      <c r="C94" s="565" t="s">
        <v>1045</v>
      </c>
      <c r="D94" s="564" t="s">
        <v>770</v>
      </c>
      <c r="E94" s="696">
        <v>121079.99999999999</v>
      </c>
      <c r="F94" s="566">
        <v>4.9000000000000004</v>
      </c>
      <c r="G94" s="566">
        <v>4.9000000000000004</v>
      </c>
      <c r="H94" s="566">
        <v>4.9000000000000004</v>
      </c>
      <c r="I94" s="567">
        <v>2.6014241494118679</v>
      </c>
      <c r="J94" s="567">
        <v>1.6891138029720172</v>
      </c>
      <c r="K94" s="567">
        <v>0.30705882352941172</v>
      </c>
      <c r="L94" s="567">
        <v>0.20470588235294118</v>
      </c>
      <c r="M94" s="567">
        <v>0.41470588235294126</v>
      </c>
      <c r="N94" s="567">
        <v>7.3529411764705899E-2</v>
      </c>
      <c r="O94" s="564"/>
      <c r="P94" s="564"/>
      <c r="Q94" s="573"/>
      <c r="R94" s="557"/>
      <c r="S94" s="603">
        <f t="shared" si="8"/>
        <v>0</v>
      </c>
      <c r="T94" s="599">
        <f t="shared" si="9"/>
        <v>1</v>
      </c>
    </row>
    <row r="95" spans="1:20" ht="15">
      <c r="A95" s="1215"/>
      <c r="B95" s="564">
        <v>35</v>
      </c>
      <c r="C95" s="565" t="s">
        <v>1077</v>
      </c>
      <c r="D95" s="564" t="s">
        <v>770</v>
      </c>
      <c r="E95" s="696">
        <v>120000</v>
      </c>
      <c r="F95" s="566">
        <v>4</v>
      </c>
      <c r="G95" s="566">
        <v>6</v>
      </c>
      <c r="H95" s="566">
        <v>8</v>
      </c>
      <c r="I95" s="567">
        <v>2.1747396831740726</v>
      </c>
      <c r="J95" s="567">
        <v>1.3333567987466031</v>
      </c>
      <c r="K95" s="567">
        <v>0.24166666666666664</v>
      </c>
      <c r="L95" s="567">
        <v>0.38666666666666666</v>
      </c>
      <c r="M95" s="567">
        <v>0.3716666666666667</v>
      </c>
      <c r="N95" s="567">
        <v>0</v>
      </c>
      <c r="O95" s="564"/>
      <c r="P95" s="564"/>
      <c r="Q95" s="573"/>
      <c r="R95" s="557"/>
      <c r="S95" s="603">
        <f t="shared" si="8"/>
        <v>0</v>
      </c>
      <c r="T95" s="599">
        <f t="shared" si="9"/>
        <v>1</v>
      </c>
    </row>
    <row r="96" spans="1:20" ht="15">
      <c r="A96" s="1215"/>
      <c r="B96" s="564">
        <v>36</v>
      </c>
      <c r="C96" s="565" t="s">
        <v>1123</v>
      </c>
      <c r="D96" s="564" t="s">
        <v>771</v>
      </c>
      <c r="E96" s="696">
        <v>116875</v>
      </c>
      <c r="F96" s="566">
        <v>5</v>
      </c>
      <c r="G96" s="566">
        <v>5.8999999999999995</v>
      </c>
      <c r="H96" s="566">
        <v>7.7</v>
      </c>
      <c r="I96" s="567">
        <v>2.1399643403563062</v>
      </c>
      <c r="J96" s="567">
        <v>1.3424833386732682</v>
      </c>
      <c r="K96" s="567">
        <v>0.17399999999999996</v>
      </c>
      <c r="L96" s="567">
        <v>0.52200000000000002</v>
      </c>
      <c r="M96" s="567">
        <v>0.30400000000000005</v>
      </c>
      <c r="N96" s="567">
        <v>0</v>
      </c>
      <c r="O96" s="564"/>
      <c r="P96" s="564"/>
      <c r="Q96" s="573"/>
      <c r="R96" s="557"/>
      <c r="S96" s="603">
        <f t="shared" si="8"/>
        <v>1</v>
      </c>
      <c r="T96" s="599">
        <f t="shared" si="9"/>
        <v>0</v>
      </c>
    </row>
    <row r="97" spans="1:20" ht="15">
      <c r="A97" s="1215"/>
      <c r="B97" s="564">
        <v>37</v>
      </c>
      <c r="C97" s="565" t="s">
        <v>1100</v>
      </c>
      <c r="D97" s="564" t="s">
        <v>771</v>
      </c>
      <c r="E97" s="696">
        <v>52500</v>
      </c>
      <c r="F97" s="566">
        <v>4</v>
      </c>
      <c r="G97" s="566">
        <v>4.45</v>
      </c>
      <c r="H97" s="566">
        <v>4.9000000000000004</v>
      </c>
      <c r="I97" s="567">
        <v>1.8860561874586299</v>
      </c>
      <c r="J97" s="567">
        <v>1.3064354950763004</v>
      </c>
      <c r="K97" s="567">
        <v>0.30705882352941172</v>
      </c>
      <c r="L97" s="567">
        <v>0.20470588235294118</v>
      </c>
      <c r="M97" s="567">
        <v>0.41470588235294126</v>
      </c>
      <c r="N97" s="567">
        <v>7.3529411764705899E-2</v>
      </c>
      <c r="O97" s="564"/>
      <c r="P97" s="564"/>
      <c r="Q97" s="573"/>
      <c r="R97" s="557"/>
      <c r="S97" s="603">
        <f t="shared" si="8"/>
        <v>1</v>
      </c>
      <c r="T97" s="599">
        <f t="shared" si="9"/>
        <v>0</v>
      </c>
    </row>
    <row r="98" spans="1:20" ht="15">
      <c r="A98" s="1215"/>
      <c r="B98" s="564">
        <v>38</v>
      </c>
      <c r="C98" s="565"/>
      <c r="D98" s="564"/>
      <c r="E98" s="696"/>
      <c r="F98" s="566"/>
      <c r="G98" s="566"/>
      <c r="H98" s="566"/>
      <c r="I98" s="567"/>
      <c r="J98" s="567"/>
      <c r="K98" s="564"/>
      <c r="L98" s="564"/>
      <c r="M98" s="564"/>
      <c r="N98" s="564"/>
      <c r="O98" s="564"/>
      <c r="P98" s="564"/>
      <c r="Q98" s="573"/>
      <c r="R98" s="557"/>
      <c r="S98" s="603">
        <f t="shared" si="8"/>
        <v>0</v>
      </c>
      <c r="T98" s="599">
        <f t="shared" si="9"/>
        <v>0</v>
      </c>
    </row>
    <row r="99" spans="1:20" ht="15">
      <c r="A99" s="1215"/>
      <c r="B99" s="564">
        <v>39</v>
      </c>
      <c r="C99" s="565"/>
      <c r="D99" s="564"/>
      <c r="E99" s="696"/>
      <c r="F99" s="566"/>
      <c r="G99" s="566"/>
      <c r="H99" s="566"/>
      <c r="I99" s="567"/>
      <c r="J99" s="567"/>
      <c r="K99" s="564"/>
      <c r="L99" s="564"/>
      <c r="M99" s="564"/>
      <c r="N99" s="564"/>
      <c r="O99" s="564"/>
      <c r="P99" s="564"/>
      <c r="Q99" s="573"/>
      <c r="R99" s="557"/>
      <c r="S99" s="603">
        <f t="shared" si="8"/>
        <v>0</v>
      </c>
      <c r="T99" s="599">
        <f t="shared" si="9"/>
        <v>0</v>
      </c>
    </row>
    <row r="100" spans="1:20" ht="15.75" thickBot="1">
      <c r="A100" s="1215"/>
      <c r="B100" s="564">
        <v>40</v>
      </c>
      <c r="C100" s="565"/>
      <c r="D100" s="564"/>
      <c r="E100" s="696"/>
      <c r="F100" s="566"/>
      <c r="G100" s="566"/>
      <c r="H100" s="566"/>
      <c r="I100" s="567"/>
      <c r="J100" s="567"/>
      <c r="K100" s="564"/>
      <c r="L100" s="564"/>
      <c r="M100" s="564"/>
      <c r="N100" s="564"/>
      <c r="O100" s="564"/>
      <c r="P100" s="564"/>
      <c r="Q100" s="573"/>
      <c r="R100" s="557"/>
      <c r="S100" s="604">
        <f t="shared" si="8"/>
        <v>0</v>
      </c>
      <c r="T100" s="600">
        <f t="shared" si="9"/>
        <v>0</v>
      </c>
    </row>
    <row r="101" spans="1:20" ht="15.75" thickBot="1">
      <c r="A101" s="1215"/>
      <c r="B101" s="576"/>
      <c r="C101" s="576"/>
      <c r="D101" s="576"/>
      <c r="E101" s="576"/>
      <c r="F101" s="576"/>
      <c r="G101" s="576"/>
      <c r="H101" s="576"/>
      <c r="I101" s="699"/>
      <c r="J101" s="699"/>
      <c r="K101" s="576"/>
      <c r="L101" s="576"/>
      <c r="M101" s="576"/>
      <c r="N101" s="576"/>
      <c r="O101" s="576"/>
      <c r="P101" s="576"/>
      <c r="Q101" s="576"/>
      <c r="R101" s="557"/>
    </row>
    <row r="102" spans="1:20" ht="15">
      <c r="A102" s="1215"/>
      <c r="B102" s="613"/>
      <c r="C102" s="614"/>
      <c r="D102" s="617" t="s">
        <v>968</v>
      </c>
      <c r="E102" s="700">
        <f>SUMPRODUCT(T61:T100,E61:E100)</f>
        <v>218157745.41219181</v>
      </c>
      <c r="F102" s="578"/>
      <c r="G102" s="578"/>
      <c r="H102" s="578"/>
      <c r="I102" s="579"/>
      <c r="J102" s="580"/>
      <c r="K102" s="580"/>
      <c r="L102" s="580"/>
      <c r="M102" s="580"/>
      <c r="N102" s="580"/>
      <c r="O102" s="580"/>
      <c r="P102" s="580"/>
      <c r="Q102" s="580"/>
      <c r="R102" s="185"/>
      <c r="S102" s="606">
        <f>SUM(S61:S100)</f>
        <v>11</v>
      </c>
      <c r="T102" s="606">
        <f>SUM(T61:T100)</f>
        <v>26</v>
      </c>
    </row>
    <row r="103" spans="1:20" ht="15.75" thickBot="1">
      <c r="A103" s="1215"/>
      <c r="B103" s="615"/>
      <c r="C103" s="616"/>
      <c r="D103" s="618" t="s">
        <v>969</v>
      </c>
      <c r="E103" s="701"/>
      <c r="F103" s="584">
        <f>IF($T102=0,0,(SUMPRODUCT($T61:$T100,F61:F100,$E61:$E100)/$E102))</f>
        <v>3.3567186246736549</v>
      </c>
      <c r="G103" s="584">
        <f t="shared" ref="G103:J103" si="10">IF($T102=0,0,(SUMPRODUCT($T61:$T100,G61:G100,$E61:$E100)/$E102))</f>
        <v>3.6072133292664934</v>
      </c>
      <c r="H103" s="584">
        <f t="shared" si="10"/>
        <v>4.8356615994710515</v>
      </c>
      <c r="I103" s="585">
        <f t="shared" si="10"/>
        <v>2.1315003116229594</v>
      </c>
      <c r="J103" s="585">
        <f t="shared" si="10"/>
        <v>1.3986981097407729</v>
      </c>
      <c r="K103" s="585">
        <f t="shared" ref="K103:Q103" si="11">IF($T102=0,0,(SUMPRODUCT($T61:$T100,K61:K100,$E61:$E100)/$E102))</f>
        <v>0.17449127714345863</v>
      </c>
      <c r="L103" s="585">
        <f t="shared" si="11"/>
        <v>0.22367136278549471</v>
      </c>
      <c r="M103" s="585">
        <f t="shared" si="11"/>
        <v>0.56994010900522118</v>
      </c>
      <c r="N103" s="585">
        <f t="shared" si="11"/>
        <v>3.1897251065825138E-2</v>
      </c>
      <c r="O103" s="585">
        <f t="shared" si="11"/>
        <v>0</v>
      </c>
      <c r="P103" s="585">
        <f t="shared" si="11"/>
        <v>0</v>
      </c>
      <c r="Q103" s="585">
        <f t="shared" si="11"/>
        <v>0</v>
      </c>
      <c r="R103" s="185"/>
    </row>
    <row r="104" spans="1:20" ht="15">
      <c r="A104" s="1215"/>
      <c r="B104" s="613"/>
      <c r="C104" s="614"/>
      <c r="D104" s="617" t="s">
        <v>970</v>
      </c>
      <c r="E104" s="700">
        <f>SUMPRODUCT(S61:S100,E61:E100)</f>
        <v>30859951.870000001</v>
      </c>
      <c r="F104" s="578"/>
      <c r="G104" s="578"/>
      <c r="H104" s="578"/>
      <c r="I104" s="579"/>
      <c r="J104" s="589"/>
      <c r="K104" s="589"/>
      <c r="L104" s="589"/>
      <c r="M104" s="589"/>
      <c r="N104" s="589"/>
      <c r="O104" s="589"/>
      <c r="P104" s="589"/>
      <c r="Q104" s="589"/>
      <c r="R104" s="185"/>
    </row>
    <row r="105" spans="1:20" ht="15.75" thickBot="1">
      <c r="A105" s="1215"/>
      <c r="B105" s="615"/>
      <c r="C105" s="616"/>
      <c r="D105" s="618" t="s">
        <v>971</v>
      </c>
      <c r="E105" s="701"/>
      <c r="F105" s="584">
        <f>IF($S102=0,0,(SUMPRODUCT($S61:$S100,F61:F100,$E61:$E100)/$E104))</f>
        <v>3.4767032830113096</v>
      </c>
      <c r="G105" s="584">
        <f t="shared" ref="G105:J105" si="12">IF($S102=0,0,(SUMPRODUCT($S61:$S100,G61:G100,$E61:$E100)/$E104))</f>
        <v>3.7000726530405093</v>
      </c>
      <c r="H105" s="584">
        <f t="shared" si="12"/>
        <v>4.9195347466690649</v>
      </c>
      <c r="I105" s="585">
        <f t="shared" si="12"/>
        <v>2.1168267530333775</v>
      </c>
      <c r="J105" s="585">
        <f t="shared" si="12"/>
        <v>1.4209086177133603</v>
      </c>
      <c r="K105" s="585">
        <f t="shared" ref="K105:Q105" si="13">IF($S102=0,0,(SUMPRODUCT($S61:$S100,K61:K100,$E61:$E100)/$E104))</f>
        <v>0.21228698158481726</v>
      </c>
      <c r="L105" s="585">
        <f t="shared" si="13"/>
        <v>0.22069612374326278</v>
      </c>
      <c r="M105" s="585">
        <f t="shared" si="13"/>
        <v>0.54040897211203209</v>
      </c>
      <c r="N105" s="585">
        <f t="shared" si="13"/>
        <v>2.6607922559887767E-2</v>
      </c>
      <c r="O105" s="585">
        <f t="shared" si="13"/>
        <v>0</v>
      </c>
      <c r="P105" s="585">
        <f t="shared" si="13"/>
        <v>0</v>
      </c>
      <c r="Q105" s="585">
        <f t="shared" si="13"/>
        <v>0</v>
      </c>
      <c r="R105" s="185"/>
    </row>
    <row r="106" spans="1:20" ht="15">
      <c r="A106" s="1215"/>
      <c r="B106" s="613"/>
      <c r="C106" s="614"/>
      <c r="D106" s="617" t="s">
        <v>972</v>
      </c>
      <c r="E106" s="700">
        <f>SUM(E61:E100)</f>
        <v>249017697.28219181</v>
      </c>
      <c r="F106" s="578"/>
      <c r="G106" s="578"/>
      <c r="H106" s="578"/>
      <c r="I106" s="579"/>
      <c r="J106" s="580"/>
      <c r="K106" s="580"/>
      <c r="L106" s="580"/>
      <c r="M106" s="580"/>
      <c r="N106" s="580"/>
      <c r="O106" s="580"/>
      <c r="P106" s="580"/>
      <c r="Q106" s="580"/>
      <c r="R106" s="185"/>
    </row>
    <row r="107" spans="1:20" ht="15.75" thickBot="1">
      <c r="A107" s="1215"/>
      <c r="B107" s="615"/>
      <c r="C107" s="616"/>
      <c r="D107" s="618" t="s">
        <v>973</v>
      </c>
      <c r="E107" s="701"/>
      <c r="F107" s="584">
        <f>SUMPRODUCT($E61:$E100,F61:F100)/$E106</f>
        <v>3.3715879324451521</v>
      </c>
      <c r="G107" s="584">
        <f t="shared" ref="G107:J107" si="14">SUMPRODUCT($E61:$E100,G61:G100)/$E106</f>
        <v>3.6187210827057985</v>
      </c>
      <c r="H107" s="584">
        <f t="shared" si="14"/>
        <v>4.846055725326222</v>
      </c>
      <c r="I107" s="585">
        <f t="shared" si="14"/>
        <v>2.1296818653166198</v>
      </c>
      <c r="J107" s="585">
        <f t="shared" si="14"/>
        <v>1.4014505856271171</v>
      </c>
      <c r="K107" s="801">
        <f t="shared" ref="K107:Q107" si="15">SUMPRODUCT($E61:$E100,K61:K100)/$E106</f>
        <v>0.17917517564819554</v>
      </c>
      <c r="L107" s="801">
        <f t="shared" si="15"/>
        <v>0.22330265110497116</v>
      </c>
      <c r="M107" s="801">
        <f t="shared" si="15"/>
        <v>0.56628041142895835</v>
      </c>
      <c r="N107" s="801">
        <f t="shared" si="15"/>
        <v>3.1241761817874726E-2</v>
      </c>
      <c r="O107" s="585">
        <f t="shared" si="15"/>
        <v>0</v>
      </c>
      <c r="P107" s="585">
        <f t="shared" si="15"/>
        <v>0</v>
      </c>
      <c r="Q107" s="585">
        <f t="shared" si="15"/>
        <v>0</v>
      </c>
      <c r="R107" s="185"/>
    </row>
    <row r="108" spans="1:20" ht="15">
      <c r="A108" s="557"/>
      <c r="B108" s="557"/>
      <c r="C108" s="557"/>
      <c r="D108" s="557"/>
      <c r="E108" s="557"/>
      <c r="F108" s="557"/>
      <c r="G108" s="557"/>
      <c r="H108" s="557"/>
      <c r="I108" s="557"/>
      <c r="J108" s="590"/>
      <c r="K108" s="557"/>
      <c r="L108" s="557"/>
      <c r="M108" s="557"/>
      <c r="N108" s="557"/>
      <c r="O108" s="557"/>
      <c r="P108" s="557"/>
      <c r="Q108" s="557"/>
      <c r="R108" s="557"/>
    </row>
    <row r="109" spans="1:20" ht="15">
      <c r="A109" s="591"/>
      <c r="B109" s="554"/>
      <c r="C109" s="591"/>
      <c r="D109" s="591"/>
      <c r="E109" s="591"/>
      <c r="F109" s="591"/>
      <c r="G109" s="591"/>
      <c r="H109" s="591"/>
      <c r="I109" s="591"/>
      <c r="J109" s="591"/>
      <c r="K109" s="554"/>
      <c r="L109" s="591"/>
      <c r="M109" s="591"/>
      <c r="N109" s="591"/>
      <c r="O109" s="591"/>
      <c r="P109" s="591"/>
      <c r="Q109" s="591"/>
      <c r="R109" s="591"/>
    </row>
    <row r="110" spans="1:20" ht="15">
      <c r="A110" s="557"/>
      <c r="B110" s="799" t="s">
        <v>1173</v>
      </c>
      <c r="C110" s="800" t="s">
        <v>1204</v>
      </c>
      <c r="D110" s="557"/>
      <c r="E110" s="557"/>
      <c r="F110" s="557"/>
      <c r="G110" s="557"/>
      <c r="H110" s="557"/>
      <c r="I110" s="557"/>
      <c r="J110" s="557"/>
      <c r="K110" s="557"/>
      <c r="L110" s="557"/>
      <c r="M110" s="557"/>
      <c r="N110" s="557"/>
      <c r="O110" s="557"/>
      <c r="P110" s="557"/>
      <c r="Q110" s="557"/>
      <c r="R110" s="557"/>
    </row>
    <row r="111" spans="1:20" ht="15" customHeight="1" thickBot="1">
      <c r="A111" s="557"/>
      <c r="B111" s="799" t="s">
        <v>1174</v>
      </c>
      <c r="C111" s="800" t="s">
        <v>1205</v>
      </c>
      <c r="D111" s="557"/>
      <c r="E111" s="557"/>
      <c r="F111" s="608"/>
      <c r="G111" s="609" t="s">
        <v>173</v>
      </c>
      <c r="H111" s="609"/>
      <c r="I111" s="557"/>
      <c r="J111" s="557"/>
      <c r="K111" s="610"/>
      <c r="L111" s="611"/>
      <c r="M111" s="611" t="s">
        <v>954</v>
      </c>
      <c r="N111" s="611"/>
      <c r="O111" s="611"/>
      <c r="P111" s="611"/>
      <c r="Q111" s="612"/>
      <c r="R111" s="557"/>
    </row>
    <row r="112" spans="1:20" ht="60.75" thickBot="1">
      <c r="A112" s="1214" t="s">
        <v>1434</v>
      </c>
      <c r="B112" s="558" t="s">
        <v>955</v>
      </c>
      <c r="C112" s="559" t="s">
        <v>104</v>
      </c>
      <c r="D112" s="558" t="s">
        <v>769</v>
      </c>
      <c r="E112" s="558" t="s">
        <v>255</v>
      </c>
      <c r="F112" s="560" t="s">
        <v>956</v>
      </c>
      <c r="G112" s="560" t="s">
        <v>957</v>
      </c>
      <c r="H112" s="560" t="s">
        <v>958</v>
      </c>
      <c r="I112" s="561" t="s">
        <v>959</v>
      </c>
      <c r="J112" s="562" t="s">
        <v>960</v>
      </c>
      <c r="K112" s="562" t="s">
        <v>961</v>
      </c>
      <c r="L112" s="562" t="s">
        <v>962</v>
      </c>
      <c r="M112" s="562" t="s">
        <v>963</v>
      </c>
      <c r="N112" s="562" t="s">
        <v>964</v>
      </c>
      <c r="O112" s="562" t="s">
        <v>965</v>
      </c>
      <c r="P112" s="562" t="s">
        <v>966</v>
      </c>
      <c r="Q112" s="563" t="s">
        <v>967</v>
      </c>
      <c r="R112" s="557"/>
      <c r="S112" s="602" t="s">
        <v>771</v>
      </c>
      <c r="T112" s="601" t="s">
        <v>770</v>
      </c>
    </row>
    <row r="113" spans="1:20" ht="15">
      <c r="A113" s="1215"/>
      <c r="B113" s="564">
        <v>1</v>
      </c>
      <c r="C113" s="565" t="s">
        <v>1068</v>
      </c>
      <c r="D113" s="564" t="s">
        <v>770</v>
      </c>
      <c r="E113" s="696">
        <v>4700250</v>
      </c>
      <c r="F113" s="566">
        <v>3.7</v>
      </c>
      <c r="G113" s="566">
        <v>4.8999999999999995</v>
      </c>
      <c r="H113" s="566">
        <v>6</v>
      </c>
      <c r="I113" s="567">
        <v>2.1382274410872029</v>
      </c>
      <c r="J113" s="568">
        <v>1.2579324779507752</v>
      </c>
      <c r="K113" s="569">
        <v>0.18454545454545451</v>
      </c>
      <c r="L113" s="569">
        <v>0.60636363636363644</v>
      </c>
      <c r="M113" s="569">
        <v>0.20909090909090911</v>
      </c>
      <c r="N113" s="569">
        <v>0</v>
      </c>
      <c r="O113" s="569"/>
      <c r="P113" s="569"/>
      <c r="Q113" s="570"/>
      <c r="R113" s="557"/>
      <c r="S113" s="603">
        <f>IF(D113="Commercial",1,0)</f>
        <v>0</v>
      </c>
      <c r="T113" s="599">
        <f>IF(D113="Residential",1,0)</f>
        <v>1</v>
      </c>
    </row>
    <row r="114" spans="1:20" ht="15">
      <c r="A114" s="1215"/>
      <c r="B114" s="564">
        <v>2</v>
      </c>
      <c r="C114" s="565" t="s">
        <v>1095</v>
      </c>
      <c r="D114" s="564" t="s">
        <v>770</v>
      </c>
      <c r="E114" s="696">
        <v>4044950</v>
      </c>
      <c r="F114" s="566">
        <v>4</v>
      </c>
      <c r="G114" s="566">
        <v>4</v>
      </c>
      <c r="H114" s="566">
        <v>4</v>
      </c>
      <c r="I114" s="567">
        <v>2.3523607561704596</v>
      </c>
      <c r="J114" s="568">
        <v>1.3856998700804402</v>
      </c>
      <c r="K114" s="571">
        <v>0.18454545454545451</v>
      </c>
      <c r="L114" s="571">
        <v>0.60636363636363644</v>
      </c>
      <c r="M114" s="571">
        <v>0.20909090909090911</v>
      </c>
      <c r="N114" s="571">
        <v>0</v>
      </c>
      <c r="O114" s="571"/>
      <c r="P114" s="571"/>
      <c r="Q114" s="572"/>
      <c r="R114" s="557"/>
      <c r="S114" s="603">
        <f t="shared" ref="S114:S152" si="16">IF(D114="Commercial",1,0)</f>
        <v>0</v>
      </c>
      <c r="T114" s="599">
        <f t="shared" ref="T114:T152" si="17">IF(D114="Residential",1,0)</f>
        <v>1</v>
      </c>
    </row>
    <row r="115" spans="1:20" ht="15">
      <c r="A115" s="1215"/>
      <c r="B115" s="564">
        <v>3</v>
      </c>
      <c r="C115" s="565" t="s">
        <v>1071</v>
      </c>
      <c r="D115" s="564" t="s">
        <v>770</v>
      </c>
      <c r="E115" s="696">
        <v>3702700.0211804989</v>
      </c>
      <c r="F115" s="566">
        <v>4</v>
      </c>
      <c r="G115" s="566">
        <v>4</v>
      </c>
      <c r="H115" s="566">
        <v>4</v>
      </c>
      <c r="I115" s="567">
        <v>2.1747396831740726</v>
      </c>
      <c r="J115" s="568">
        <v>1.3333567987466031</v>
      </c>
      <c r="K115" s="571">
        <v>0</v>
      </c>
      <c r="L115" s="571">
        <v>0.87</v>
      </c>
      <c r="M115" s="571">
        <v>0.13</v>
      </c>
      <c r="N115" s="571">
        <v>0</v>
      </c>
      <c r="O115" s="571"/>
      <c r="P115" s="571"/>
      <c r="Q115" s="572"/>
      <c r="R115" s="557"/>
      <c r="S115" s="603">
        <f t="shared" si="16"/>
        <v>0</v>
      </c>
      <c r="T115" s="599">
        <f t="shared" si="17"/>
        <v>1</v>
      </c>
    </row>
    <row r="116" spans="1:20" ht="15">
      <c r="A116" s="1215"/>
      <c r="B116" s="564">
        <v>4</v>
      </c>
      <c r="C116" s="565" t="s">
        <v>1089</v>
      </c>
      <c r="D116" s="564" t="s">
        <v>770</v>
      </c>
      <c r="E116" s="696">
        <v>2220625</v>
      </c>
      <c r="F116" s="566">
        <v>5</v>
      </c>
      <c r="G116" s="566">
        <v>5.8999999999999995</v>
      </c>
      <c r="H116" s="566">
        <v>7.7</v>
      </c>
      <c r="I116" s="567">
        <v>2.1399643403563062</v>
      </c>
      <c r="J116" s="568">
        <v>1.3424833386732682</v>
      </c>
      <c r="K116" s="571">
        <v>0.17399999999999996</v>
      </c>
      <c r="L116" s="571">
        <v>0.52200000000000002</v>
      </c>
      <c r="M116" s="571">
        <v>0.30400000000000005</v>
      </c>
      <c r="N116" s="571">
        <v>0</v>
      </c>
      <c r="O116" s="571"/>
      <c r="P116" s="571"/>
      <c r="Q116" s="572"/>
      <c r="R116" s="557"/>
      <c r="S116" s="603">
        <f t="shared" si="16"/>
        <v>0</v>
      </c>
      <c r="T116" s="599">
        <f t="shared" si="17"/>
        <v>1</v>
      </c>
    </row>
    <row r="117" spans="1:20" ht="15">
      <c r="A117" s="1215"/>
      <c r="B117" s="564">
        <v>5</v>
      </c>
      <c r="C117" s="565" t="s">
        <v>1056</v>
      </c>
      <c r="D117" s="564" t="s">
        <v>770</v>
      </c>
      <c r="E117" s="696">
        <v>2100000</v>
      </c>
      <c r="F117" s="566">
        <v>2</v>
      </c>
      <c r="G117" s="566">
        <v>2</v>
      </c>
      <c r="H117" s="566">
        <v>2</v>
      </c>
      <c r="I117" s="567">
        <v>2.2730303617553296</v>
      </c>
      <c r="J117" s="568">
        <v>1.447651083752618</v>
      </c>
      <c r="K117" s="571">
        <v>0.18454545454545451</v>
      </c>
      <c r="L117" s="571">
        <v>0.60636363636363644</v>
      </c>
      <c r="M117" s="571">
        <v>0.20909090909090911</v>
      </c>
      <c r="N117" s="571">
        <v>0</v>
      </c>
      <c r="O117" s="571"/>
      <c r="P117" s="571"/>
      <c r="Q117" s="572"/>
      <c r="R117" s="557"/>
      <c r="S117" s="603">
        <f t="shared" si="16"/>
        <v>0</v>
      </c>
      <c r="T117" s="599">
        <f t="shared" si="17"/>
        <v>1</v>
      </c>
    </row>
    <row r="118" spans="1:20" ht="15">
      <c r="A118" s="1215"/>
      <c r="B118" s="564">
        <v>6</v>
      </c>
      <c r="C118" s="565" t="s">
        <v>1090</v>
      </c>
      <c r="D118" s="564" t="s">
        <v>770</v>
      </c>
      <c r="E118" s="696">
        <v>1490156.25</v>
      </c>
      <c r="F118" s="566">
        <v>5</v>
      </c>
      <c r="G118" s="566">
        <v>5.8999999999999995</v>
      </c>
      <c r="H118" s="566">
        <v>7.7</v>
      </c>
      <c r="I118" s="567">
        <v>2.1399643403563062</v>
      </c>
      <c r="J118" s="568">
        <v>1.3424833386732682</v>
      </c>
      <c r="K118" s="571">
        <v>0.40153846153846162</v>
      </c>
      <c r="L118" s="571">
        <v>0.435</v>
      </c>
      <c r="M118" s="571">
        <v>0.16346153846153846</v>
      </c>
      <c r="N118" s="571">
        <v>0</v>
      </c>
      <c r="O118" s="571"/>
      <c r="P118" s="571"/>
      <c r="Q118" s="572"/>
      <c r="R118" s="557"/>
      <c r="S118" s="603">
        <f t="shared" si="16"/>
        <v>0</v>
      </c>
      <c r="T118" s="599">
        <f t="shared" si="17"/>
        <v>1</v>
      </c>
    </row>
    <row r="119" spans="1:20" ht="15">
      <c r="A119" s="1215"/>
      <c r="B119" s="564">
        <v>7</v>
      </c>
      <c r="C119" s="565" t="s">
        <v>1059</v>
      </c>
      <c r="D119" s="564" t="s">
        <v>770</v>
      </c>
      <c r="E119" s="696">
        <v>1320000</v>
      </c>
      <c r="F119" s="566">
        <v>6</v>
      </c>
      <c r="G119" s="566">
        <v>6</v>
      </c>
      <c r="H119" s="566">
        <v>6</v>
      </c>
      <c r="I119" s="567">
        <v>2.003271430856147</v>
      </c>
      <c r="J119" s="568">
        <v>1.3035177895182004</v>
      </c>
      <c r="K119" s="571">
        <v>0.14499999999999999</v>
      </c>
      <c r="L119" s="571">
        <v>0.57999999999999996</v>
      </c>
      <c r="M119" s="571">
        <v>0.27500000000000002</v>
      </c>
      <c r="N119" s="571">
        <v>0</v>
      </c>
      <c r="O119" s="571"/>
      <c r="P119" s="571"/>
      <c r="Q119" s="572"/>
      <c r="R119" s="557"/>
      <c r="S119" s="603">
        <f t="shared" si="16"/>
        <v>0</v>
      </c>
      <c r="T119" s="599">
        <f t="shared" si="17"/>
        <v>1</v>
      </c>
    </row>
    <row r="120" spans="1:20" ht="15">
      <c r="A120" s="1215"/>
      <c r="B120" s="564">
        <v>8</v>
      </c>
      <c r="C120" s="565" t="s">
        <v>1043</v>
      </c>
      <c r="D120" s="564" t="s">
        <v>770</v>
      </c>
      <c r="E120" s="696">
        <v>1064433.157376</v>
      </c>
      <c r="F120" s="566">
        <v>4</v>
      </c>
      <c r="G120" s="566">
        <v>4</v>
      </c>
      <c r="H120" s="566">
        <v>4</v>
      </c>
      <c r="I120" s="567">
        <v>1.8860561874586299</v>
      </c>
      <c r="J120" s="568">
        <v>1.3064354950763004</v>
      </c>
      <c r="K120" s="571">
        <v>0.18454545454545451</v>
      </c>
      <c r="L120" s="571">
        <v>0.60636363636363644</v>
      </c>
      <c r="M120" s="571">
        <v>0.20909090909090911</v>
      </c>
      <c r="N120" s="571">
        <v>0</v>
      </c>
      <c r="O120" s="571"/>
      <c r="P120" s="571"/>
      <c r="Q120" s="572"/>
      <c r="R120" s="557"/>
      <c r="S120" s="603">
        <f t="shared" si="16"/>
        <v>0</v>
      </c>
      <c r="T120" s="599">
        <f t="shared" si="17"/>
        <v>1</v>
      </c>
    </row>
    <row r="121" spans="1:20" ht="15">
      <c r="A121" s="1215"/>
      <c r="B121" s="564">
        <v>9</v>
      </c>
      <c r="C121" s="565" t="s">
        <v>1061</v>
      </c>
      <c r="D121" s="564" t="s">
        <v>770</v>
      </c>
      <c r="E121" s="696">
        <v>862785</v>
      </c>
      <c r="F121" s="566">
        <v>6</v>
      </c>
      <c r="G121" s="566">
        <v>6</v>
      </c>
      <c r="H121" s="566">
        <v>6</v>
      </c>
      <c r="I121" s="567">
        <v>2.003271430856147</v>
      </c>
      <c r="J121" s="568">
        <v>1.3035177895182004</v>
      </c>
      <c r="K121" s="571">
        <v>0.21306122448979584</v>
      </c>
      <c r="L121" s="571">
        <v>0.46163265306122453</v>
      </c>
      <c r="M121" s="571">
        <v>0.32530612244897961</v>
      </c>
      <c r="N121" s="571">
        <v>0</v>
      </c>
      <c r="O121" s="571"/>
      <c r="P121" s="571"/>
      <c r="Q121" s="572"/>
      <c r="R121" s="557"/>
      <c r="S121" s="603">
        <f t="shared" si="16"/>
        <v>0</v>
      </c>
      <c r="T121" s="599">
        <f t="shared" si="17"/>
        <v>1</v>
      </c>
    </row>
    <row r="122" spans="1:20" ht="15">
      <c r="A122" s="1215"/>
      <c r="B122" s="564">
        <v>10</v>
      </c>
      <c r="C122" s="565" t="s">
        <v>1124</v>
      </c>
      <c r="D122" s="564" t="s">
        <v>771</v>
      </c>
      <c r="E122" s="696">
        <v>262968.75</v>
      </c>
      <c r="F122" s="566">
        <v>5</v>
      </c>
      <c r="G122" s="566">
        <v>5.8999999999999995</v>
      </c>
      <c r="H122" s="566">
        <v>7.7</v>
      </c>
      <c r="I122" s="567">
        <v>2.1399643403563062</v>
      </c>
      <c r="J122" s="568">
        <v>1.3424833386732682</v>
      </c>
      <c r="K122" s="571">
        <v>0.40153846153846162</v>
      </c>
      <c r="L122" s="571">
        <v>0.435</v>
      </c>
      <c r="M122" s="571">
        <v>0.16346153846153846</v>
      </c>
      <c r="N122" s="571">
        <v>0</v>
      </c>
      <c r="O122" s="571"/>
      <c r="P122" s="571"/>
      <c r="Q122" s="572"/>
      <c r="R122" s="557"/>
      <c r="S122" s="603">
        <f t="shared" si="16"/>
        <v>1</v>
      </c>
      <c r="T122" s="599">
        <f t="shared" si="17"/>
        <v>0</v>
      </c>
    </row>
    <row r="123" spans="1:20" ht="15">
      <c r="A123" s="1215"/>
      <c r="B123" s="564">
        <v>11</v>
      </c>
      <c r="C123" s="565" t="s">
        <v>1073</v>
      </c>
      <c r="D123" s="564" t="s">
        <v>770</v>
      </c>
      <c r="E123" s="696">
        <v>250000</v>
      </c>
      <c r="F123" s="566">
        <v>5</v>
      </c>
      <c r="G123" s="566">
        <v>5</v>
      </c>
      <c r="H123" s="566">
        <v>5</v>
      </c>
      <c r="I123" s="567">
        <v>2.1747396831740726</v>
      </c>
      <c r="J123" s="568">
        <v>1.3333567987466031</v>
      </c>
      <c r="K123" s="571">
        <v>0.18454545454545451</v>
      </c>
      <c r="L123" s="571">
        <v>0.60636363636363644</v>
      </c>
      <c r="M123" s="571">
        <v>0.20909090909090911</v>
      </c>
      <c r="N123" s="571">
        <v>0</v>
      </c>
      <c r="O123" s="571"/>
      <c r="P123" s="571"/>
      <c r="Q123" s="572"/>
      <c r="R123" s="557"/>
      <c r="S123" s="603">
        <f t="shared" si="16"/>
        <v>0</v>
      </c>
      <c r="T123" s="599">
        <f t="shared" si="17"/>
        <v>1</v>
      </c>
    </row>
    <row r="124" spans="1:20" ht="15">
      <c r="A124" s="1215"/>
      <c r="B124" s="564">
        <v>12</v>
      </c>
      <c r="C124" s="565" t="s">
        <v>1024</v>
      </c>
      <c r="D124" s="564" t="s">
        <v>770</v>
      </c>
      <c r="E124" s="696">
        <v>228109.87679999997</v>
      </c>
      <c r="F124" s="566">
        <v>5</v>
      </c>
      <c r="G124" s="566">
        <v>5</v>
      </c>
      <c r="H124" s="566">
        <v>5</v>
      </c>
      <c r="I124" s="567">
        <v>1.8860561874586299</v>
      </c>
      <c r="J124" s="568">
        <v>1.3064354950763004</v>
      </c>
      <c r="K124" s="571">
        <v>0.18454545454545451</v>
      </c>
      <c r="L124" s="571">
        <v>0.60636363636363644</v>
      </c>
      <c r="M124" s="571">
        <v>0.20909090909090911</v>
      </c>
      <c r="N124" s="571">
        <v>0</v>
      </c>
      <c r="O124" s="571"/>
      <c r="P124" s="571"/>
      <c r="Q124" s="572"/>
      <c r="R124" s="557"/>
      <c r="S124" s="603">
        <f t="shared" si="16"/>
        <v>0</v>
      </c>
      <c r="T124" s="599">
        <f t="shared" si="17"/>
        <v>1</v>
      </c>
    </row>
    <row r="125" spans="1:20" ht="15">
      <c r="A125" s="1215"/>
      <c r="B125" s="564">
        <v>13</v>
      </c>
      <c r="C125" s="565" t="s">
        <v>1112</v>
      </c>
      <c r="D125" s="564" t="s">
        <v>771</v>
      </c>
      <c r="E125" s="696">
        <v>218016.42982400002</v>
      </c>
      <c r="F125" s="566">
        <v>4</v>
      </c>
      <c r="G125" s="566">
        <v>4</v>
      </c>
      <c r="H125" s="566">
        <v>4</v>
      </c>
      <c r="I125" s="567">
        <v>1.8860561874586299</v>
      </c>
      <c r="J125" s="568">
        <v>1.3064354950763004</v>
      </c>
      <c r="K125" s="571">
        <v>0.18454545454545451</v>
      </c>
      <c r="L125" s="571">
        <v>0.60636363636363644</v>
      </c>
      <c r="M125" s="571">
        <v>0.20909090909090911</v>
      </c>
      <c r="N125" s="571">
        <v>0</v>
      </c>
      <c r="O125" s="571"/>
      <c r="P125" s="571"/>
      <c r="Q125" s="572"/>
      <c r="R125" s="557"/>
      <c r="S125" s="603">
        <f t="shared" si="16"/>
        <v>1</v>
      </c>
      <c r="T125" s="599">
        <f t="shared" si="17"/>
        <v>0</v>
      </c>
    </row>
    <row r="126" spans="1:20" ht="15">
      <c r="A126" s="1215"/>
      <c r="B126" s="564">
        <v>14</v>
      </c>
      <c r="C126" s="565" t="s">
        <v>1110</v>
      </c>
      <c r="D126" s="564" t="s">
        <v>771</v>
      </c>
      <c r="E126" s="696">
        <v>131796.7365</v>
      </c>
      <c r="F126" s="566">
        <v>5</v>
      </c>
      <c r="G126" s="566">
        <v>5</v>
      </c>
      <c r="H126" s="566">
        <v>5</v>
      </c>
      <c r="I126" s="567">
        <v>1.9881186723518185</v>
      </c>
      <c r="J126" s="568">
        <v>1.3088126773682838</v>
      </c>
      <c r="K126" s="571">
        <v>0.18454545454545451</v>
      </c>
      <c r="L126" s="571">
        <v>0.60636363636363644</v>
      </c>
      <c r="M126" s="571">
        <v>0.20909090909090911</v>
      </c>
      <c r="N126" s="571">
        <v>0</v>
      </c>
      <c r="O126" s="571"/>
      <c r="P126" s="571"/>
      <c r="Q126" s="572"/>
      <c r="R126" s="557"/>
      <c r="S126" s="603">
        <f t="shared" si="16"/>
        <v>1</v>
      </c>
      <c r="T126" s="599">
        <f t="shared" si="17"/>
        <v>0</v>
      </c>
    </row>
    <row r="127" spans="1:20" ht="15">
      <c r="A127" s="1215"/>
      <c r="B127" s="564">
        <v>15</v>
      </c>
      <c r="C127" s="565" t="s">
        <v>1077</v>
      </c>
      <c r="D127" s="564" t="s">
        <v>770</v>
      </c>
      <c r="E127" s="696">
        <v>120000</v>
      </c>
      <c r="F127" s="566">
        <v>4</v>
      </c>
      <c r="G127" s="566">
        <v>6</v>
      </c>
      <c r="H127" s="566">
        <v>8</v>
      </c>
      <c r="I127" s="567">
        <v>2.1747396831740726</v>
      </c>
      <c r="J127" s="568">
        <v>1.3333567987466031</v>
      </c>
      <c r="K127" s="571">
        <v>0.24166666666666664</v>
      </c>
      <c r="L127" s="571">
        <v>0.38666666666666666</v>
      </c>
      <c r="M127" s="571">
        <v>0.3716666666666667</v>
      </c>
      <c r="N127" s="571">
        <v>0</v>
      </c>
      <c r="O127" s="571"/>
      <c r="P127" s="571"/>
      <c r="Q127" s="572"/>
      <c r="R127" s="557"/>
      <c r="S127" s="603">
        <f t="shared" si="16"/>
        <v>0</v>
      </c>
      <c r="T127" s="599">
        <f t="shared" si="17"/>
        <v>1</v>
      </c>
    </row>
    <row r="128" spans="1:20" ht="15">
      <c r="A128" s="1215"/>
      <c r="B128" s="564">
        <v>16</v>
      </c>
      <c r="C128" s="565" t="s">
        <v>1123</v>
      </c>
      <c r="D128" s="564" t="s">
        <v>771</v>
      </c>
      <c r="E128" s="696">
        <v>116875</v>
      </c>
      <c r="F128" s="566">
        <v>5</v>
      </c>
      <c r="G128" s="566">
        <v>5.8999999999999995</v>
      </c>
      <c r="H128" s="566">
        <v>7.7</v>
      </c>
      <c r="I128" s="567">
        <v>2.1399643403563062</v>
      </c>
      <c r="J128" s="568">
        <v>1.3424833386732682</v>
      </c>
      <c r="K128" s="571">
        <v>0.17399999999999996</v>
      </c>
      <c r="L128" s="571">
        <v>0.52200000000000002</v>
      </c>
      <c r="M128" s="571">
        <v>0.30400000000000005</v>
      </c>
      <c r="N128" s="571">
        <v>0</v>
      </c>
      <c r="O128" s="571"/>
      <c r="P128" s="571"/>
      <c r="Q128" s="572"/>
      <c r="R128" s="557"/>
      <c r="S128" s="603">
        <f t="shared" si="16"/>
        <v>1</v>
      </c>
      <c r="T128" s="599">
        <f t="shared" si="17"/>
        <v>0</v>
      </c>
    </row>
    <row r="129" spans="1:20" ht="15">
      <c r="A129" s="1215"/>
      <c r="B129" s="564">
        <v>17</v>
      </c>
      <c r="C129" s="565" t="s">
        <v>1040</v>
      </c>
      <c r="D129" s="564" t="s">
        <v>770</v>
      </c>
      <c r="E129" s="696">
        <v>107833.69349999998</v>
      </c>
      <c r="F129" s="566">
        <v>5</v>
      </c>
      <c r="G129" s="566">
        <v>5</v>
      </c>
      <c r="H129" s="566">
        <v>5</v>
      </c>
      <c r="I129" s="567">
        <v>1.9881186723518185</v>
      </c>
      <c r="J129" s="567">
        <v>1.3088126773682838</v>
      </c>
      <c r="K129" s="567">
        <v>0.18454545454545451</v>
      </c>
      <c r="L129" s="567">
        <v>0.60636363636363644</v>
      </c>
      <c r="M129" s="567">
        <v>0.20909090909090911</v>
      </c>
      <c r="N129" s="567">
        <v>0</v>
      </c>
      <c r="O129" s="564"/>
      <c r="P129" s="564"/>
      <c r="Q129" s="573"/>
      <c r="R129" s="557"/>
      <c r="S129" s="603">
        <f t="shared" si="16"/>
        <v>0</v>
      </c>
      <c r="T129" s="599">
        <f t="shared" si="17"/>
        <v>1</v>
      </c>
    </row>
    <row r="130" spans="1:20" ht="15">
      <c r="A130" s="1215"/>
      <c r="B130" s="564">
        <v>18</v>
      </c>
      <c r="C130" s="565" t="s">
        <v>1065</v>
      </c>
      <c r="D130" s="564" t="s">
        <v>770</v>
      </c>
      <c r="E130" s="696">
        <v>61250</v>
      </c>
      <c r="F130" s="566">
        <v>4</v>
      </c>
      <c r="G130" s="566">
        <v>5</v>
      </c>
      <c r="H130" s="566">
        <v>6</v>
      </c>
      <c r="I130" s="567">
        <v>2.1747396831740726</v>
      </c>
      <c r="J130" s="567">
        <v>1.3333567987466031</v>
      </c>
      <c r="K130" s="567">
        <v>0.18454545454545451</v>
      </c>
      <c r="L130" s="567">
        <v>0.60636363636363644</v>
      </c>
      <c r="M130" s="567">
        <v>0.20909090909090911</v>
      </c>
      <c r="N130" s="567">
        <v>0</v>
      </c>
      <c r="O130" s="564"/>
      <c r="P130" s="564"/>
      <c r="Q130" s="573"/>
      <c r="R130" s="557"/>
      <c r="S130" s="603">
        <f t="shared" si="16"/>
        <v>0</v>
      </c>
      <c r="T130" s="599">
        <f t="shared" si="17"/>
        <v>1</v>
      </c>
    </row>
    <row r="131" spans="1:20" ht="15">
      <c r="A131" s="1215"/>
      <c r="B131" s="564">
        <v>19</v>
      </c>
      <c r="C131" s="565" t="s">
        <v>1067</v>
      </c>
      <c r="D131" s="564" t="s">
        <v>770</v>
      </c>
      <c r="E131" s="696">
        <v>57730.32</v>
      </c>
      <c r="F131" s="566">
        <v>4</v>
      </c>
      <c r="G131" s="566">
        <v>5</v>
      </c>
      <c r="H131" s="566">
        <v>6</v>
      </c>
      <c r="I131" s="567">
        <v>2.1747396831740726</v>
      </c>
      <c r="J131" s="567">
        <v>1.3333567987466031</v>
      </c>
      <c r="K131" s="567">
        <v>0.30705882352941172</v>
      </c>
      <c r="L131" s="567">
        <v>0.20470588235294118</v>
      </c>
      <c r="M131" s="567">
        <v>0.41470588235294126</v>
      </c>
      <c r="N131" s="567">
        <v>7.3529411764705899E-2</v>
      </c>
      <c r="O131" s="564"/>
      <c r="P131" s="564"/>
      <c r="Q131" s="573"/>
      <c r="R131" s="557"/>
      <c r="S131" s="603">
        <f t="shared" si="16"/>
        <v>0</v>
      </c>
      <c r="T131" s="599">
        <f t="shared" si="17"/>
        <v>1</v>
      </c>
    </row>
    <row r="132" spans="1:20" ht="15">
      <c r="A132" s="1215"/>
      <c r="B132" s="564">
        <v>20</v>
      </c>
      <c r="C132" s="565"/>
      <c r="D132" s="564"/>
      <c r="E132" s="696"/>
      <c r="F132" s="566"/>
      <c r="G132" s="566"/>
      <c r="H132" s="566"/>
      <c r="I132" s="567"/>
      <c r="J132" s="567"/>
      <c r="K132" s="564"/>
      <c r="L132" s="564"/>
      <c r="M132" s="564"/>
      <c r="N132" s="564"/>
      <c r="O132" s="564"/>
      <c r="P132" s="564"/>
      <c r="Q132" s="573"/>
      <c r="R132" s="557"/>
      <c r="S132" s="603">
        <f t="shared" si="16"/>
        <v>0</v>
      </c>
      <c r="T132" s="599">
        <f t="shared" si="17"/>
        <v>0</v>
      </c>
    </row>
    <row r="133" spans="1:20" ht="15">
      <c r="A133" s="1215"/>
      <c r="B133" s="564">
        <v>21</v>
      </c>
      <c r="C133" s="565"/>
      <c r="D133" s="564"/>
      <c r="E133" s="696"/>
      <c r="F133" s="566"/>
      <c r="G133" s="566"/>
      <c r="H133" s="566"/>
      <c r="I133" s="567"/>
      <c r="J133" s="567"/>
      <c r="K133" s="564"/>
      <c r="L133" s="564"/>
      <c r="M133" s="564"/>
      <c r="N133" s="564"/>
      <c r="O133" s="564"/>
      <c r="P133" s="564"/>
      <c r="Q133" s="573"/>
      <c r="R133" s="557"/>
      <c r="S133" s="603">
        <f t="shared" si="16"/>
        <v>0</v>
      </c>
      <c r="T133" s="599">
        <f t="shared" si="17"/>
        <v>0</v>
      </c>
    </row>
    <row r="134" spans="1:20" ht="15">
      <c r="A134" s="1215"/>
      <c r="B134" s="564">
        <v>22</v>
      </c>
      <c r="C134" s="565"/>
      <c r="D134" s="564"/>
      <c r="E134" s="696"/>
      <c r="F134" s="566"/>
      <c r="G134" s="566"/>
      <c r="H134" s="566"/>
      <c r="I134" s="567"/>
      <c r="J134" s="567"/>
      <c r="K134" s="564"/>
      <c r="L134" s="564"/>
      <c r="M134" s="564"/>
      <c r="N134" s="564"/>
      <c r="O134" s="564"/>
      <c r="P134" s="564"/>
      <c r="Q134" s="573"/>
      <c r="R134" s="557"/>
      <c r="S134" s="603">
        <f t="shared" si="16"/>
        <v>0</v>
      </c>
      <c r="T134" s="599">
        <f t="shared" si="17"/>
        <v>0</v>
      </c>
    </row>
    <row r="135" spans="1:20" ht="15">
      <c r="A135" s="1215"/>
      <c r="B135" s="564">
        <v>23</v>
      </c>
      <c r="C135" s="565"/>
      <c r="D135" s="564"/>
      <c r="E135" s="696"/>
      <c r="F135" s="566"/>
      <c r="G135" s="566"/>
      <c r="H135" s="566"/>
      <c r="I135" s="567"/>
      <c r="J135" s="567"/>
      <c r="K135" s="564"/>
      <c r="L135" s="564"/>
      <c r="M135" s="564"/>
      <c r="N135" s="564"/>
      <c r="O135" s="564"/>
      <c r="P135" s="564"/>
      <c r="Q135" s="573"/>
      <c r="R135" s="557"/>
      <c r="S135" s="603">
        <f t="shared" si="16"/>
        <v>0</v>
      </c>
      <c r="T135" s="599">
        <f t="shared" si="17"/>
        <v>0</v>
      </c>
    </row>
    <row r="136" spans="1:20" ht="15">
      <c r="A136" s="1215"/>
      <c r="B136" s="564">
        <v>24</v>
      </c>
      <c r="C136" s="565"/>
      <c r="D136" s="564"/>
      <c r="E136" s="696"/>
      <c r="F136" s="566"/>
      <c r="G136" s="566"/>
      <c r="H136" s="566"/>
      <c r="I136" s="567"/>
      <c r="J136" s="567"/>
      <c r="K136" s="564"/>
      <c r="L136" s="564"/>
      <c r="M136" s="564"/>
      <c r="N136" s="564"/>
      <c r="O136" s="564"/>
      <c r="P136" s="564"/>
      <c r="Q136" s="573"/>
      <c r="R136" s="557"/>
      <c r="S136" s="603">
        <f t="shared" si="16"/>
        <v>0</v>
      </c>
      <c r="T136" s="599">
        <f t="shared" si="17"/>
        <v>0</v>
      </c>
    </row>
    <row r="137" spans="1:20" ht="15">
      <c r="A137" s="1215"/>
      <c r="B137" s="564">
        <v>25</v>
      </c>
      <c r="C137" s="565"/>
      <c r="D137" s="564"/>
      <c r="E137" s="696"/>
      <c r="F137" s="566"/>
      <c r="G137" s="566"/>
      <c r="H137" s="566"/>
      <c r="I137" s="567"/>
      <c r="J137" s="567"/>
      <c r="K137" s="564"/>
      <c r="L137" s="564"/>
      <c r="M137" s="564"/>
      <c r="N137" s="564"/>
      <c r="O137" s="564"/>
      <c r="P137" s="564"/>
      <c r="Q137" s="573"/>
      <c r="R137" s="557"/>
      <c r="S137" s="603">
        <f t="shared" si="16"/>
        <v>0</v>
      </c>
      <c r="T137" s="599">
        <f t="shared" si="17"/>
        <v>0</v>
      </c>
    </row>
    <row r="138" spans="1:20" ht="15">
      <c r="A138" s="1215"/>
      <c r="B138" s="564">
        <v>26</v>
      </c>
      <c r="C138" s="565"/>
      <c r="D138" s="564"/>
      <c r="E138" s="697"/>
      <c r="F138" s="695"/>
      <c r="G138" s="695"/>
      <c r="H138" s="695"/>
      <c r="I138" s="693"/>
      <c r="J138" s="693"/>
      <c r="K138" s="574"/>
      <c r="L138" s="574"/>
      <c r="M138" s="574"/>
      <c r="N138" s="574"/>
      <c r="O138" s="574"/>
      <c r="P138" s="574"/>
      <c r="Q138" s="575"/>
      <c r="R138" s="557"/>
      <c r="S138" s="603">
        <f t="shared" si="16"/>
        <v>0</v>
      </c>
      <c r="T138" s="599">
        <f t="shared" si="17"/>
        <v>0</v>
      </c>
    </row>
    <row r="139" spans="1:20" ht="15">
      <c r="A139" s="1215"/>
      <c r="B139" s="564">
        <v>27</v>
      </c>
      <c r="C139" s="565"/>
      <c r="D139" s="564"/>
      <c r="E139" s="697"/>
      <c r="F139" s="695"/>
      <c r="G139" s="695"/>
      <c r="H139" s="695"/>
      <c r="I139" s="693"/>
      <c r="J139" s="693"/>
      <c r="K139" s="574"/>
      <c r="L139" s="574"/>
      <c r="M139" s="574"/>
      <c r="N139" s="574"/>
      <c r="O139" s="574"/>
      <c r="P139" s="574"/>
      <c r="Q139" s="575"/>
      <c r="R139" s="557"/>
      <c r="S139" s="603">
        <f t="shared" si="16"/>
        <v>0</v>
      </c>
      <c r="T139" s="599">
        <f t="shared" si="17"/>
        <v>0</v>
      </c>
    </row>
    <row r="140" spans="1:20" ht="15">
      <c r="A140" s="1215"/>
      <c r="B140" s="564">
        <v>28</v>
      </c>
      <c r="C140" s="565"/>
      <c r="D140" s="564"/>
      <c r="E140" s="697"/>
      <c r="F140" s="695"/>
      <c r="G140" s="695"/>
      <c r="H140" s="695"/>
      <c r="I140" s="693"/>
      <c r="J140" s="693"/>
      <c r="K140" s="574"/>
      <c r="L140" s="574"/>
      <c r="M140" s="574"/>
      <c r="N140" s="574"/>
      <c r="O140" s="574"/>
      <c r="P140" s="574"/>
      <c r="Q140" s="575"/>
      <c r="R140" s="557"/>
      <c r="S140" s="603">
        <f t="shared" si="16"/>
        <v>0</v>
      </c>
      <c r="T140" s="599">
        <f t="shared" si="17"/>
        <v>0</v>
      </c>
    </row>
    <row r="141" spans="1:20" ht="15">
      <c r="A141" s="1215"/>
      <c r="B141" s="564">
        <v>29</v>
      </c>
      <c r="C141" s="565"/>
      <c r="D141" s="564"/>
      <c r="E141" s="697"/>
      <c r="F141" s="695"/>
      <c r="G141" s="695"/>
      <c r="H141" s="695"/>
      <c r="I141" s="693"/>
      <c r="J141" s="693"/>
      <c r="K141" s="574"/>
      <c r="L141" s="574"/>
      <c r="M141" s="574"/>
      <c r="N141" s="574"/>
      <c r="O141" s="574"/>
      <c r="P141" s="574"/>
      <c r="Q141" s="575"/>
      <c r="R141" s="557"/>
      <c r="S141" s="603">
        <f t="shared" si="16"/>
        <v>0</v>
      </c>
      <c r="T141" s="599">
        <f t="shared" si="17"/>
        <v>0</v>
      </c>
    </row>
    <row r="142" spans="1:20" ht="15">
      <c r="A142" s="1215"/>
      <c r="B142" s="564">
        <v>30</v>
      </c>
      <c r="C142" s="565"/>
      <c r="D142" s="564"/>
      <c r="E142" s="697"/>
      <c r="F142" s="695"/>
      <c r="G142" s="695"/>
      <c r="H142" s="695"/>
      <c r="I142" s="693"/>
      <c r="J142" s="693"/>
      <c r="K142" s="574"/>
      <c r="L142" s="574"/>
      <c r="M142" s="574"/>
      <c r="N142" s="574"/>
      <c r="O142" s="574"/>
      <c r="P142" s="574"/>
      <c r="Q142" s="575"/>
      <c r="R142" s="557"/>
      <c r="S142" s="603">
        <f t="shared" si="16"/>
        <v>0</v>
      </c>
      <c r="T142" s="599">
        <f t="shared" si="17"/>
        <v>0</v>
      </c>
    </row>
    <row r="143" spans="1:20" ht="15">
      <c r="A143" s="1215"/>
      <c r="B143" s="564">
        <v>31</v>
      </c>
      <c r="C143" s="565"/>
      <c r="D143" s="564"/>
      <c r="E143" s="696"/>
      <c r="F143" s="566"/>
      <c r="G143" s="566"/>
      <c r="H143" s="566"/>
      <c r="I143" s="567"/>
      <c r="J143" s="567"/>
      <c r="K143" s="564"/>
      <c r="L143" s="564"/>
      <c r="M143" s="564"/>
      <c r="N143" s="564"/>
      <c r="O143" s="564"/>
      <c r="P143" s="564"/>
      <c r="Q143" s="573"/>
      <c r="R143" s="557"/>
      <c r="S143" s="603">
        <f t="shared" si="16"/>
        <v>0</v>
      </c>
      <c r="T143" s="599">
        <f t="shared" si="17"/>
        <v>0</v>
      </c>
    </row>
    <row r="144" spans="1:20" ht="15">
      <c r="A144" s="1215"/>
      <c r="B144" s="564">
        <v>32</v>
      </c>
      <c r="C144" s="565"/>
      <c r="D144" s="564"/>
      <c r="E144" s="696"/>
      <c r="F144" s="566"/>
      <c r="G144" s="566"/>
      <c r="H144" s="566"/>
      <c r="I144" s="567"/>
      <c r="J144" s="567"/>
      <c r="K144" s="564"/>
      <c r="L144" s="564"/>
      <c r="M144" s="564"/>
      <c r="N144" s="564"/>
      <c r="O144" s="564"/>
      <c r="P144" s="564"/>
      <c r="Q144" s="573"/>
      <c r="R144" s="557"/>
      <c r="S144" s="603">
        <f t="shared" si="16"/>
        <v>0</v>
      </c>
      <c r="T144" s="599">
        <f t="shared" si="17"/>
        <v>0</v>
      </c>
    </row>
    <row r="145" spans="1:20" ht="15">
      <c r="A145" s="1215"/>
      <c r="B145" s="564">
        <v>33</v>
      </c>
      <c r="C145" s="565"/>
      <c r="D145" s="564"/>
      <c r="E145" s="696"/>
      <c r="F145" s="566"/>
      <c r="G145" s="566"/>
      <c r="H145" s="566"/>
      <c r="I145" s="567"/>
      <c r="J145" s="567"/>
      <c r="K145" s="564"/>
      <c r="L145" s="564"/>
      <c r="M145" s="564"/>
      <c r="N145" s="564"/>
      <c r="O145" s="564"/>
      <c r="P145" s="564"/>
      <c r="Q145" s="573"/>
      <c r="R145" s="557"/>
      <c r="S145" s="603">
        <f t="shared" si="16"/>
        <v>0</v>
      </c>
      <c r="T145" s="599">
        <f t="shared" si="17"/>
        <v>0</v>
      </c>
    </row>
    <row r="146" spans="1:20" ht="15">
      <c r="A146" s="1215"/>
      <c r="B146" s="564">
        <v>34</v>
      </c>
      <c r="C146" s="565"/>
      <c r="D146" s="564"/>
      <c r="E146" s="696"/>
      <c r="F146" s="566"/>
      <c r="G146" s="566"/>
      <c r="H146" s="566"/>
      <c r="I146" s="567"/>
      <c r="J146" s="567"/>
      <c r="K146" s="564"/>
      <c r="L146" s="564"/>
      <c r="M146" s="564"/>
      <c r="N146" s="564"/>
      <c r="O146" s="564"/>
      <c r="P146" s="564"/>
      <c r="Q146" s="573"/>
      <c r="R146" s="557"/>
      <c r="S146" s="603">
        <f t="shared" si="16"/>
        <v>0</v>
      </c>
      <c r="T146" s="599">
        <f t="shared" si="17"/>
        <v>0</v>
      </c>
    </row>
    <row r="147" spans="1:20" ht="15">
      <c r="A147" s="1215"/>
      <c r="B147" s="564">
        <v>35</v>
      </c>
      <c r="C147" s="565"/>
      <c r="D147" s="564"/>
      <c r="E147" s="696"/>
      <c r="F147" s="566"/>
      <c r="G147" s="566"/>
      <c r="H147" s="566"/>
      <c r="I147" s="567"/>
      <c r="J147" s="567"/>
      <c r="K147" s="564"/>
      <c r="L147" s="564"/>
      <c r="M147" s="564"/>
      <c r="N147" s="564"/>
      <c r="O147" s="564"/>
      <c r="P147" s="564"/>
      <c r="Q147" s="573"/>
      <c r="R147" s="557"/>
      <c r="S147" s="603">
        <f t="shared" si="16"/>
        <v>0</v>
      </c>
      <c r="T147" s="599">
        <f t="shared" si="17"/>
        <v>0</v>
      </c>
    </row>
    <row r="148" spans="1:20" ht="15">
      <c r="A148" s="1215"/>
      <c r="B148" s="564">
        <v>36</v>
      </c>
      <c r="C148" s="565"/>
      <c r="D148" s="564"/>
      <c r="E148" s="696"/>
      <c r="F148" s="566"/>
      <c r="G148" s="566"/>
      <c r="H148" s="566"/>
      <c r="I148" s="567"/>
      <c r="J148" s="567"/>
      <c r="K148" s="564"/>
      <c r="L148" s="564"/>
      <c r="M148" s="564"/>
      <c r="N148" s="564"/>
      <c r="O148" s="564"/>
      <c r="P148" s="564"/>
      <c r="Q148" s="573"/>
      <c r="R148" s="557"/>
      <c r="S148" s="603">
        <f t="shared" si="16"/>
        <v>0</v>
      </c>
      <c r="T148" s="599">
        <f t="shared" si="17"/>
        <v>0</v>
      </c>
    </row>
    <row r="149" spans="1:20" ht="15">
      <c r="A149" s="1215"/>
      <c r="B149" s="564">
        <v>37</v>
      </c>
      <c r="C149" s="565"/>
      <c r="D149" s="564"/>
      <c r="E149" s="696"/>
      <c r="F149" s="566"/>
      <c r="G149" s="566"/>
      <c r="H149" s="566"/>
      <c r="I149" s="567"/>
      <c r="J149" s="567"/>
      <c r="K149" s="564"/>
      <c r="L149" s="564"/>
      <c r="M149" s="564"/>
      <c r="N149" s="564"/>
      <c r="O149" s="564"/>
      <c r="P149" s="564"/>
      <c r="Q149" s="573"/>
      <c r="R149" s="557"/>
      <c r="S149" s="603">
        <f t="shared" si="16"/>
        <v>0</v>
      </c>
      <c r="T149" s="599">
        <f t="shared" si="17"/>
        <v>0</v>
      </c>
    </row>
    <row r="150" spans="1:20" ht="15">
      <c r="A150" s="1215"/>
      <c r="B150" s="564">
        <v>38</v>
      </c>
      <c r="C150" s="565"/>
      <c r="D150" s="564"/>
      <c r="E150" s="696"/>
      <c r="F150" s="566"/>
      <c r="G150" s="566"/>
      <c r="H150" s="566"/>
      <c r="I150" s="567"/>
      <c r="J150" s="567"/>
      <c r="K150" s="564"/>
      <c r="L150" s="564"/>
      <c r="M150" s="564"/>
      <c r="N150" s="564"/>
      <c r="O150" s="564"/>
      <c r="P150" s="564"/>
      <c r="Q150" s="573"/>
      <c r="R150" s="557"/>
      <c r="S150" s="603">
        <f t="shared" si="16"/>
        <v>0</v>
      </c>
      <c r="T150" s="599">
        <f t="shared" si="17"/>
        <v>0</v>
      </c>
    </row>
    <row r="151" spans="1:20" ht="15">
      <c r="A151" s="1215"/>
      <c r="B151" s="564">
        <v>39</v>
      </c>
      <c r="C151" s="565"/>
      <c r="D151" s="564"/>
      <c r="E151" s="696"/>
      <c r="F151" s="566"/>
      <c r="G151" s="566"/>
      <c r="H151" s="566"/>
      <c r="I151" s="567"/>
      <c r="J151" s="567"/>
      <c r="K151" s="564"/>
      <c r="L151" s="564"/>
      <c r="M151" s="564"/>
      <c r="N151" s="564"/>
      <c r="O151" s="564"/>
      <c r="P151" s="564"/>
      <c r="Q151" s="573"/>
      <c r="R151" s="557"/>
      <c r="S151" s="603">
        <f t="shared" si="16"/>
        <v>0</v>
      </c>
      <c r="T151" s="599">
        <f t="shared" si="17"/>
        <v>0</v>
      </c>
    </row>
    <row r="152" spans="1:20" ht="15.75" thickBot="1">
      <c r="A152" s="1215"/>
      <c r="B152" s="564">
        <v>40</v>
      </c>
      <c r="C152" s="565"/>
      <c r="D152" s="564"/>
      <c r="E152" s="696"/>
      <c r="F152" s="566"/>
      <c r="G152" s="566"/>
      <c r="H152" s="566"/>
      <c r="I152" s="567"/>
      <c r="J152" s="567"/>
      <c r="K152" s="564"/>
      <c r="L152" s="564"/>
      <c r="M152" s="564"/>
      <c r="N152" s="564"/>
      <c r="O152" s="564"/>
      <c r="P152" s="564"/>
      <c r="Q152" s="573"/>
      <c r="R152" s="557"/>
      <c r="S152" s="604">
        <f t="shared" si="16"/>
        <v>0</v>
      </c>
      <c r="T152" s="600">
        <f t="shared" si="17"/>
        <v>0</v>
      </c>
    </row>
    <row r="153" spans="1:20" ht="15.75" thickBot="1">
      <c r="A153" s="1215"/>
      <c r="B153" s="576"/>
      <c r="C153" s="576"/>
      <c r="D153" s="576"/>
      <c r="E153" s="576"/>
      <c r="F153" s="576"/>
      <c r="G153" s="576"/>
      <c r="H153" s="576"/>
      <c r="I153" s="699"/>
      <c r="J153" s="699"/>
      <c r="K153" s="576"/>
      <c r="L153" s="576"/>
      <c r="M153" s="576"/>
      <c r="N153" s="576"/>
      <c r="O153" s="576"/>
      <c r="P153" s="576"/>
      <c r="Q153" s="576"/>
      <c r="R153" s="557"/>
    </row>
    <row r="154" spans="1:20" ht="15">
      <c r="A154" s="1215"/>
      <c r="B154" s="613"/>
      <c r="C154" s="614"/>
      <c r="D154" s="617" t="s">
        <v>968</v>
      </c>
      <c r="E154" s="700">
        <f>SUMPRODUCT(T113:T152,E113:E152)</f>
        <v>22330823.3188565</v>
      </c>
      <c r="F154" s="578"/>
      <c r="G154" s="578"/>
      <c r="H154" s="578"/>
      <c r="I154" s="579"/>
      <c r="J154" s="580"/>
      <c r="K154" s="580"/>
      <c r="L154" s="580"/>
      <c r="M154" s="580"/>
      <c r="N154" s="580"/>
      <c r="O154" s="580"/>
      <c r="P154" s="580"/>
      <c r="Q154" s="580"/>
      <c r="R154" s="185"/>
      <c r="S154" s="606">
        <f>SUM(S113:S152)</f>
        <v>4</v>
      </c>
      <c r="T154" s="606">
        <f>SUM(T113:T152)</f>
        <v>15</v>
      </c>
    </row>
    <row r="155" spans="1:20" ht="15.75" thickBot="1">
      <c r="A155" s="1215"/>
      <c r="B155" s="615"/>
      <c r="C155" s="616"/>
      <c r="D155" s="618" t="s">
        <v>969</v>
      </c>
      <c r="E155" s="701"/>
      <c r="F155" s="584">
        <f>IF($T154=0,0,(SUMPRODUCT($T113:$T152,F113:F152,$E113:$E152)/$E154))</f>
        <v>4.1366819206223653</v>
      </c>
      <c r="G155" s="584">
        <f t="shared" ref="G155:H155" si="18">IF($T154=0,0,(SUMPRODUCT($T113:$T152,G113:G152,$E113:$E152)/$E154))</f>
        <v>4.5548923605891707</v>
      </c>
      <c r="H155" s="584">
        <f t="shared" si="18"/>
        <v>5.1016102937202268</v>
      </c>
      <c r="I155" s="585">
        <f t="shared" ref="I155:J155" si="19">IF($T154=0,0,(SUMPRODUCT($T113:$T152,I113:I152,$E113:$E152)/$E154))</f>
        <v>2.1683216584930518</v>
      </c>
      <c r="J155" s="585">
        <f t="shared" si="19"/>
        <v>1.3346339915022529</v>
      </c>
      <c r="K155" s="585">
        <f t="shared" ref="K155:Q155" si="20">IF($T154=0,0,(SUMPRODUCT($T113:$T152,K113:K152,$E113:$E152)/$E154))</f>
        <v>0.16676508849328461</v>
      </c>
      <c r="L155" s="585">
        <f t="shared" si="20"/>
        <v>0.62088368259653937</v>
      </c>
      <c r="M155" s="585">
        <f t="shared" si="20"/>
        <v>0.21216113845045681</v>
      </c>
      <c r="N155" s="585">
        <f t="shared" si="20"/>
        <v>1.9009045971913607E-4</v>
      </c>
      <c r="O155" s="585">
        <f t="shared" si="20"/>
        <v>0</v>
      </c>
      <c r="P155" s="585">
        <f t="shared" si="20"/>
        <v>0</v>
      </c>
      <c r="Q155" s="585">
        <f t="shared" si="20"/>
        <v>0</v>
      </c>
      <c r="R155" s="185"/>
    </row>
    <row r="156" spans="1:20" ht="15">
      <c r="A156" s="1215"/>
      <c r="B156" s="613"/>
      <c r="C156" s="614"/>
      <c r="D156" s="617" t="s">
        <v>970</v>
      </c>
      <c r="E156" s="700">
        <f>SUMPRODUCT(S113:S152,E113:E152)</f>
        <v>729656.91632399999</v>
      </c>
      <c r="F156" s="578"/>
      <c r="G156" s="578"/>
      <c r="H156" s="578"/>
      <c r="I156" s="579"/>
      <c r="J156" s="589"/>
      <c r="K156" s="589"/>
      <c r="L156" s="589"/>
      <c r="M156" s="589"/>
      <c r="N156" s="589"/>
      <c r="O156" s="589"/>
      <c r="P156" s="589"/>
      <c r="Q156" s="589"/>
      <c r="R156" s="185"/>
    </row>
    <row r="157" spans="1:20" ht="15.75" thickBot="1">
      <c r="A157" s="1215"/>
      <c r="B157" s="615"/>
      <c r="C157" s="616"/>
      <c r="D157" s="618" t="s">
        <v>971</v>
      </c>
      <c r="E157" s="701"/>
      <c r="F157" s="584">
        <f>IF($S154=0,0,(SUMPRODUCT($S113:$S152,F113:F152,$E113:$E152)/$E156))</f>
        <v>4.7012069303442452</v>
      </c>
      <c r="G157" s="584">
        <f t="shared" ref="G157:H157" si="21">IF($S154=0,0,(SUMPRODUCT($S113:$S152,G113:G152,$E113:$E152)/$E156))</f>
        <v>5.1697276382987214</v>
      </c>
      <c r="H157" s="584">
        <f t="shared" si="21"/>
        <v>6.106769054207672</v>
      </c>
      <c r="I157" s="585">
        <f t="shared" ref="I157:J157" si="22">IF($S154=0,0,(SUMPRODUCT($S113:$S152,I113:I152,$E113:$E152)/$E156))</f>
        <v>2.0366707090530918</v>
      </c>
      <c r="J157" s="585">
        <f t="shared" si="22"/>
        <v>1.3256306162984717</v>
      </c>
      <c r="K157" s="585">
        <f t="shared" ref="K157:Q157" si="23">IF($S154=0,0,(SUMPRODUCT($S113:$S152,K113:K152,$E113:$E152)/$E156))</f>
        <v>0.2610607024087413</v>
      </c>
      <c r="L157" s="585">
        <f t="shared" si="23"/>
        <v>0.53109088827991691</v>
      </c>
      <c r="M157" s="585">
        <f t="shared" si="23"/>
        <v>0.20784840931134185</v>
      </c>
      <c r="N157" s="585">
        <f t="shared" si="23"/>
        <v>0</v>
      </c>
      <c r="O157" s="585">
        <f t="shared" si="23"/>
        <v>0</v>
      </c>
      <c r="P157" s="585">
        <f t="shared" si="23"/>
        <v>0</v>
      </c>
      <c r="Q157" s="585">
        <f t="shared" si="23"/>
        <v>0</v>
      </c>
      <c r="R157" s="185"/>
    </row>
    <row r="158" spans="1:20" ht="15">
      <c r="A158" s="1215"/>
      <c r="B158" s="613"/>
      <c r="C158" s="614"/>
      <c r="D158" s="617" t="s">
        <v>972</v>
      </c>
      <c r="E158" s="700">
        <f>SUM(E113:E152)</f>
        <v>23060480.235180497</v>
      </c>
      <c r="F158" s="578"/>
      <c r="G158" s="578"/>
      <c r="H158" s="578"/>
      <c r="I158" s="579"/>
      <c r="J158" s="580"/>
      <c r="K158" s="580"/>
      <c r="L158" s="580"/>
      <c r="M158" s="580"/>
      <c r="N158" s="580"/>
      <c r="O158" s="580"/>
      <c r="P158" s="580"/>
      <c r="Q158" s="580"/>
      <c r="R158" s="185"/>
    </row>
    <row r="159" spans="1:20" ht="15.75" thickBot="1">
      <c r="A159" s="1215"/>
      <c r="B159" s="615"/>
      <c r="C159" s="616"/>
      <c r="D159" s="618" t="s">
        <v>973</v>
      </c>
      <c r="E159" s="701"/>
      <c r="F159" s="584">
        <f>SUMPRODUCT($E113:$E152,F113:F152)/$E158</f>
        <v>4.1545440628492667</v>
      </c>
      <c r="G159" s="584">
        <f t="shared" ref="G159:H159" si="24">SUMPRODUCT($E113:$E152,G113:G152)/$E158</f>
        <v>4.574346370575328</v>
      </c>
      <c r="H159" s="584">
        <f t="shared" si="24"/>
        <v>5.1334145334460954</v>
      </c>
      <c r="I159" s="585">
        <f t="shared" ref="I159:J159" si="25">SUMPRODUCT($E113:$E152,I113:I152)/$E158</f>
        <v>2.1641560893106311</v>
      </c>
      <c r="J159" s="585">
        <f t="shared" si="25"/>
        <v>1.3343491156054503</v>
      </c>
      <c r="K159" s="801">
        <f t="shared" ref="K159:Q159" si="26">SUMPRODUCT($E113:$E152,K113:K152)/$E158</f>
        <v>0.16974869708125609</v>
      </c>
      <c r="L159" s="801">
        <f t="shared" si="26"/>
        <v>0.61804254777449741</v>
      </c>
      <c r="M159" s="801">
        <f t="shared" si="26"/>
        <v>0.21202467933891647</v>
      </c>
      <c r="N159" s="801">
        <f t="shared" si="26"/>
        <v>1.8407580533003634E-4</v>
      </c>
      <c r="O159" s="585">
        <f t="shared" si="26"/>
        <v>0</v>
      </c>
      <c r="P159" s="585">
        <f t="shared" si="26"/>
        <v>0</v>
      </c>
      <c r="Q159" s="585">
        <f t="shared" si="26"/>
        <v>0</v>
      </c>
      <c r="R159" s="185"/>
    </row>
    <row r="160" spans="1:20" ht="15">
      <c r="A160" s="557"/>
      <c r="B160" s="557"/>
      <c r="C160" s="557"/>
      <c r="D160" s="557"/>
      <c r="E160" s="557"/>
      <c r="F160" s="557"/>
      <c r="G160" s="557"/>
      <c r="H160" s="557"/>
      <c r="I160" s="557"/>
      <c r="J160" s="590"/>
      <c r="K160" s="557"/>
      <c r="L160" s="557"/>
      <c r="M160" s="557"/>
      <c r="N160" s="557"/>
      <c r="O160" s="557"/>
      <c r="P160" s="557"/>
      <c r="Q160" s="557"/>
      <c r="R160" s="557"/>
    </row>
    <row r="161" spans="1:20" ht="15">
      <c r="A161" s="591"/>
      <c r="B161" s="554"/>
      <c r="C161" s="591"/>
      <c r="D161" s="591"/>
      <c r="E161" s="591"/>
      <c r="F161" s="591"/>
      <c r="G161" s="591"/>
      <c r="H161" s="591"/>
      <c r="I161" s="591"/>
      <c r="J161" s="591"/>
      <c r="K161" s="554"/>
      <c r="L161" s="591"/>
      <c r="M161" s="591"/>
      <c r="N161" s="591"/>
      <c r="O161" s="591"/>
      <c r="P161" s="591"/>
      <c r="Q161" s="591"/>
      <c r="R161" s="591"/>
    </row>
    <row r="162" spans="1:20" ht="15">
      <c r="A162" s="557"/>
      <c r="B162" s="799" t="s">
        <v>1173</v>
      </c>
      <c r="C162" s="800" t="s">
        <v>1199</v>
      </c>
      <c r="D162" s="557"/>
      <c r="E162" s="557"/>
      <c r="F162" s="557"/>
      <c r="G162" s="557"/>
      <c r="H162" s="557"/>
      <c r="I162" s="557"/>
      <c r="J162" s="557"/>
      <c r="K162" s="557"/>
      <c r="L162" s="557"/>
      <c r="M162" s="557"/>
      <c r="N162" s="557"/>
      <c r="O162" s="557"/>
      <c r="P162" s="557"/>
      <c r="Q162" s="557"/>
      <c r="R162" s="557"/>
    </row>
    <row r="163" spans="1:20" ht="15" customHeight="1" thickBot="1">
      <c r="A163" s="557"/>
      <c r="B163" s="799" t="s">
        <v>1174</v>
      </c>
      <c r="C163" s="800" t="s">
        <v>1200</v>
      </c>
      <c r="D163" s="557"/>
      <c r="E163" s="557"/>
      <c r="F163" s="608"/>
      <c r="G163" s="609" t="s">
        <v>173</v>
      </c>
      <c r="H163" s="609"/>
      <c r="I163" s="557"/>
      <c r="J163" s="557"/>
      <c r="K163" s="610"/>
      <c r="L163" s="611"/>
      <c r="M163" s="611" t="s">
        <v>954</v>
      </c>
      <c r="N163" s="611"/>
      <c r="O163" s="611"/>
      <c r="P163" s="611"/>
      <c r="Q163" s="612"/>
      <c r="R163" s="557"/>
    </row>
    <row r="164" spans="1:20" ht="60.75" thickBot="1">
      <c r="A164" s="1214" t="s">
        <v>1435</v>
      </c>
      <c r="B164" s="558" t="s">
        <v>955</v>
      </c>
      <c r="C164" s="559" t="s">
        <v>104</v>
      </c>
      <c r="D164" s="558" t="s">
        <v>769</v>
      </c>
      <c r="E164" s="558" t="s">
        <v>255</v>
      </c>
      <c r="F164" s="560" t="s">
        <v>956</v>
      </c>
      <c r="G164" s="560" t="s">
        <v>957</v>
      </c>
      <c r="H164" s="560" t="s">
        <v>958</v>
      </c>
      <c r="I164" s="561" t="s">
        <v>959</v>
      </c>
      <c r="J164" s="562" t="s">
        <v>960</v>
      </c>
      <c r="K164" s="562" t="s">
        <v>961</v>
      </c>
      <c r="L164" s="562" t="s">
        <v>962</v>
      </c>
      <c r="M164" s="562" t="s">
        <v>963</v>
      </c>
      <c r="N164" s="562" t="s">
        <v>964</v>
      </c>
      <c r="O164" s="562" t="s">
        <v>965</v>
      </c>
      <c r="P164" s="562" t="s">
        <v>966</v>
      </c>
      <c r="Q164" s="563" t="s">
        <v>967</v>
      </c>
      <c r="R164" s="557"/>
      <c r="S164" s="602" t="s">
        <v>771</v>
      </c>
      <c r="T164" s="601" t="s">
        <v>770</v>
      </c>
    </row>
    <row r="165" spans="1:20" ht="15">
      <c r="A165" s="1215"/>
      <c r="B165" s="564">
        <v>1</v>
      </c>
      <c r="C165" s="565" t="s">
        <v>1102</v>
      </c>
      <c r="D165" s="564" t="s">
        <v>771</v>
      </c>
      <c r="E165" s="696">
        <v>15425300.000000002</v>
      </c>
      <c r="F165" s="566">
        <v>3</v>
      </c>
      <c r="G165" s="566">
        <v>3.6666666666666665</v>
      </c>
      <c r="H165" s="566">
        <v>4</v>
      </c>
      <c r="I165" s="567">
        <v>1.8860561874586299</v>
      </c>
      <c r="J165" s="568">
        <v>1.3064354950763004</v>
      </c>
      <c r="K165" s="569">
        <v>0</v>
      </c>
      <c r="L165" s="569">
        <v>0.32624999999999998</v>
      </c>
      <c r="M165" s="569">
        <v>0.67374999999999996</v>
      </c>
      <c r="N165" s="569">
        <v>0</v>
      </c>
      <c r="O165" s="569"/>
      <c r="P165" s="569"/>
      <c r="Q165" s="570"/>
      <c r="R165" s="557"/>
      <c r="S165" s="603">
        <f>IF(D165="Commercial",1,0)</f>
        <v>1</v>
      </c>
      <c r="T165" s="599">
        <f>IF(D165="Residential",1,0)</f>
        <v>0</v>
      </c>
    </row>
    <row r="166" spans="1:20" ht="15">
      <c r="A166" s="1215"/>
      <c r="B166" s="564">
        <v>2</v>
      </c>
      <c r="C166" s="565" t="s">
        <v>1032</v>
      </c>
      <c r="D166" s="564" t="s">
        <v>770</v>
      </c>
      <c r="E166" s="696">
        <v>12620699.999999998</v>
      </c>
      <c r="F166" s="566">
        <v>3</v>
      </c>
      <c r="G166" s="566">
        <v>3.6666666666666665</v>
      </c>
      <c r="H166" s="566">
        <v>4</v>
      </c>
      <c r="I166" s="567">
        <v>1.8860561874586299</v>
      </c>
      <c r="J166" s="568">
        <v>1.3064354950763004</v>
      </c>
      <c r="K166" s="571">
        <v>0</v>
      </c>
      <c r="L166" s="571">
        <v>0.32624999999999998</v>
      </c>
      <c r="M166" s="571">
        <v>0.67374999999999996</v>
      </c>
      <c r="N166" s="571">
        <v>0</v>
      </c>
      <c r="O166" s="571"/>
      <c r="P166" s="571"/>
      <c r="Q166" s="572"/>
      <c r="R166" s="557"/>
      <c r="S166" s="603">
        <f t="shared" ref="S166:S204" si="27">IF(D166="Commercial",1,0)</f>
        <v>0</v>
      </c>
      <c r="T166" s="599">
        <f t="shared" ref="T166:T204" si="28">IF(D166="Residential",1,0)</f>
        <v>1</v>
      </c>
    </row>
    <row r="167" spans="1:20" ht="15">
      <c r="A167" s="1215"/>
      <c r="B167" s="564">
        <v>3</v>
      </c>
      <c r="C167" s="565" t="s">
        <v>1091</v>
      </c>
      <c r="D167" s="564" t="s">
        <v>770</v>
      </c>
      <c r="E167" s="696">
        <v>7596875</v>
      </c>
      <c r="F167" s="566">
        <v>1.5</v>
      </c>
      <c r="G167" s="566">
        <v>3</v>
      </c>
      <c r="H167" s="566">
        <v>7.7</v>
      </c>
      <c r="I167" s="567">
        <v>2.1399643403563062</v>
      </c>
      <c r="J167" s="568">
        <v>1.3424833386732682</v>
      </c>
      <c r="K167" s="571">
        <v>0.18315789473684205</v>
      </c>
      <c r="L167" s="571">
        <v>0.50368421052631585</v>
      </c>
      <c r="M167" s="571">
        <v>0.31315789473684208</v>
      </c>
      <c r="N167" s="571">
        <v>0</v>
      </c>
      <c r="O167" s="571"/>
      <c r="P167" s="571"/>
      <c r="Q167" s="572"/>
      <c r="R167" s="557"/>
      <c r="S167" s="603">
        <f t="shared" si="27"/>
        <v>0</v>
      </c>
      <c r="T167" s="599">
        <f t="shared" si="28"/>
        <v>1</v>
      </c>
    </row>
    <row r="168" spans="1:20" ht="15">
      <c r="A168" s="1215"/>
      <c r="B168" s="564">
        <v>4</v>
      </c>
      <c r="C168" s="565" t="s">
        <v>1101</v>
      </c>
      <c r="D168" s="564" t="s">
        <v>771</v>
      </c>
      <c r="E168" s="696">
        <v>4771635</v>
      </c>
      <c r="F168" s="566">
        <v>3</v>
      </c>
      <c r="G168" s="566">
        <v>3.6666666666666665</v>
      </c>
      <c r="H168" s="566">
        <v>4</v>
      </c>
      <c r="I168" s="567">
        <v>1.8860561874586299</v>
      </c>
      <c r="J168" s="568">
        <v>1.3064354950763004</v>
      </c>
      <c r="K168" s="571">
        <v>0</v>
      </c>
      <c r="L168" s="571">
        <v>0.32624999999999998</v>
      </c>
      <c r="M168" s="571">
        <v>0.67374999999999996</v>
      </c>
      <c r="N168" s="571">
        <v>0</v>
      </c>
      <c r="O168" s="571"/>
      <c r="P168" s="571"/>
      <c r="Q168" s="572"/>
      <c r="R168" s="557"/>
      <c r="S168" s="603">
        <f t="shared" si="27"/>
        <v>1</v>
      </c>
      <c r="T168" s="599">
        <f t="shared" si="28"/>
        <v>0</v>
      </c>
    </row>
    <row r="169" spans="1:20" ht="15">
      <c r="A169" s="1215"/>
      <c r="B169" s="564">
        <v>5</v>
      </c>
      <c r="C169" s="565" t="s">
        <v>1090</v>
      </c>
      <c r="D169" s="564" t="s">
        <v>770</v>
      </c>
      <c r="E169" s="696">
        <v>4470468.75</v>
      </c>
      <c r="F169" s="566">
        <v>5</v>
      </c>
      <c r="G169" s="566">
        <v>5.8999999999999995</v>
      </c>
      <c r="H169" s="566">
        <v>7.7</v>
      </c>
      <c r="I169" s="567">
        <v>2.1399643403563062</v>
      </c>
      <c r="J169" s="568">
        <v>1.3424833386732682</v>
      </c>
      <c r="K169" s="571">
        <v>0.40153846153846162</v>
      </c>
      <c r="L169" s="571">
        <v>0.435</v>
      </c>
      <c r="M169" s="571">
        <v>0.16346153846153846</v>
      </c>
      <c r="N169" s="571">
        <v>0</v>
      </c>
      <c r="O169" s="571"/>
      <c r="P169" s="571"/>
      <c r="Q169" s="572"/>
      <c r="R169" s="557"/>
      <c r="S169" s="603">
        <f t="shared" si="27"/>
        <v>0</v>
      </c>
      <c r="T169" s="599">
        <f t="shared" si="28"/>
        <v>1</v>
      </c>
    </row>
    <row r="170" spans="1:20" ht="15">
      <c r="A170" s="1215"/>
      <c r="B170" s="564">
        <v>6</v>
      </c>
      <c r="C170" s="565" t="s">
        <v>1125</v>
      </c>
      <c r="D170" s="564" t="s">
        <v>771</v>
      </c>
      <c r="E170" s="696">
        <v>4090624.9999999995</v>
      </c>
      <c r="F170" s="566">
        <v>1.5</v>
      </c>
      <c r="G170" s="566">
        <v>3</v>
      </c>
      <c r="H170" s="566">
        <v>7.7</v>
      </c>
      <c r="I170" s="567">
        <v>2.1399643403563062</v>
      </c>
      <c r="J170" s="568">
        <v>1.3424833386732682</v>
      </c>
      <c r="K170" s="571">
        <v>0.18315789473684205</v>
      </c>
      <c r="L170" s="571">
        <v>0.50368421052631585</v>
      </c>
      <c r="M170" s="571">
        <v>0.31315789473684208</v>
      </c>
      <c r="N170" s="571">
        <v>0</v>
      </c>
      <c r="O170" s="571"/>
      <c r="P170" s="571"/>
      <c r="Q170" s="572"/>
      <c r="R170" s="557"/>
      <c r="S170" s="603">
        <f t="shared" si="27"/>
        <v>1</v>
      </c>
      <c r="T170" s="599">
        <f t="shared" si="28"/>
        <v>0</v>
      </c>
    </row>
    <row r="171" spans="1:20" ht="15">
      <c r="A171" s="1215"/>
      <c r="B171" s="564">
        <v>7</v>
      </c>
      <c r="C171" s="565" t="s">
        <v>1127</v>
      </c>
      <c r="D171" s="564" t="s">
        <v>770</v>
      </c>
      <c r="E171" s="696">
        <v>3904064.9999999995</v>
      </c>
      <c r="F171" s="566">
        <v>3</v>
      </c>
      <c r="G171" s="566">
        <v>3.6666666666666665</v>
      </c>
      <c r="H171" s="566">
        <v>4</v>
      </c>
      <c r="I171" s="567">
        <v>1.8860561874586299</v>
      </c>
      <c r="J171" s="568">
        <v>1.3064354950763004</v>
      </c>
      <c r="K171" s="571">
        <v>0</v>
      </c>
      <c r="L171" s="571">
        <v>0.32624999999999998</v>
      </c>
      <c r="M171" s="571">
        <v>0.67374999999999996</v>
      </c>
      <c r="N171" s="571">
        <v>0</v>
      </c>
      <c r="O171" s="571"/>
      <c r="P171" s="571"/>
      <c r="Q171" s="572"/>
      <c r="R171" s="557"/>
      <c r="S171" s="603">
        <f t="shared" si="27"/>
        <v>0</v>
      </c>
      <c r="T171" s="599">
        <f t="shared" si="28"/>
        <v>1</v>
      </c>
    </row>
    <row r="172" spans="1:20" ht="15">
      <c r="A172" s="1215"/>
      <c r="B172" s="564">
        <v>8</v>
      </c>
      <c r="C172" s="565" t="s">
        <v>1059</v>
      </c>
      <c r="D172" s="564" t="s">
        <v>770</v>
      </c>
      <c r="E172" s="696">
        <v>2680000</v>
      </c>
      <c r="F172" s="566">
        <v>6</v>
      </c>
      <c r="G172" s="566">
        <v>6</v>
      </c>
      <c r="H172" s="566">
        <v>6</v>
      </c>
      <c r="I172" s="567">
        <v>2.003271430856147</v>
      </c>
      <c r="J172" s="568">
        <v>1.3035177895182004</v>
      </c>
      <c r="K172" s="571">
        <v>0.14499999999999999</v>
      </c>
      <c r="L172" s="571">
        <v>0.57999999999999996</v>
      </c>
      <c r="M172" s="571">
        <v>0.27500000000000002</v>
      </c>
      <c r="N172" s="571">
        <v>0</v>
      </c>
      <c r="O172" s="571"/>
      <c r="P172" s="571"/>
      <c r="Q172" s="572"/>
      <c r="R172" s="557"/>
      <c r="S172" s="603">
        <f t="shared" si="27"/>
        <v>0</v>
      </c>
      <c r="T172" s="599">
        <f t="shared" si="28"/>
        <v>1</v>
      </c>
    </row>
    <row r="173" spans="1:20" ht="15">
      <c r="A173" s="1215"/>
      <c r="B173" s="564">
        <v>9</v>
      </c>
      <c r="C173" s="565" t="s">
        <v>1061</v>
      </c>
      <c r="D173" s="564" t="s">
        <v>770</v>
      </c>
      <c r="E173" s="696">
        <v>1751715</v>
      </c>
      <c r="F173" s="566">
        <v>6</v>
      </c>
      <c r="G173" s="566">
        <v>6</v>
      </c>
      <c r="H173" s="566">
        <v>6</v>
      </c>
      <c r="I173" s="567">
        <v>2.003271430856147</v>
      </c>
      <c r="J173" s="568">
        <v>1.3035177895182004</v>
      </c>
      <c r="K173" s="571">
        <v>0.21306122448979584</v>
      </c>
      <c r="L173" s="571">
        <v>0.46163265306122453</v>
      </c>
      <c r="M173" s="571">
        <v>0.32530612244897961</v>
      </c>
      <c r="N173" s="571">
        <v>0</v>
      </c>
      <c r="O173" s="571"/>
      <c r="P173" s="571"/>
      <c r="Q173" s="572"/>
      <c r="R173" s="557"/>
      <c r="S173" s="603">
        <f t="shared" si="27"/>
        <v>0</v>
      </c>
      <c r="T173" s="599">
        <f t="shared" si="28"/>
        <v>1</v>
      </c>
    </row>
    <row r="174" spans="1:20" ht="15">
      <c r="A174" s="1215"/>
      <c r="B174" s="564">
        <v>10</v>
      </c>
      <c r="C174" s="565" t="s">
        <v>1060</v>
      </c>
      <c r="D174" s="564" t="s">
        <v>770</v>
      </c>
      <c r="E174" s="696">
        <v>1000000</v>
      </c>
      <c r="F174" s="566">
        <v>6</v>
      </c>
      <c r="G174" s="566">
        <v>6</v>
      </c>
      <c r="H174" s="566">
        <v>6</v>
      </c>
      <c r="I174" s="567">
        <v>2.003271430856147</v>
      </c>
      <c r="J174" s="568">
        <v>1.3035177895182004</v>
      </c>
      <c r="K174" s="571">
        <v>0.21306122448979584</v>
      </c>
      <c r="L174" s="571">
        <v>0.46163265306122453</v>
      </c>
      <c r="M174" s="571">
        <v>0.32530612244897961</v>
      </c>
      <c r="N174" s="571">
        <v>0</v>
      </c>
      <c r="O174" s="571"/>
      <c r="P174" s="571"/>
      <c r="Q174" s="572"/>
      <c r="R174" s="557"/>
      <c r="S174" s="603">
        <f t="shared" si="27"/>
        <v>0</v>
      </c>
      <c r="T174" s="599">
        <f t="shared" si="28"/>
        <v>1</v>
      </c>
    </row>
    <row r="175" spans="1:20" ht="15">
      <c r="A175" s="1215"/>
      <c r="B175" s="564">
        <v>11</v>
      </c>
      <c r="C175" s="565" t="s">
        <v>1124</v>
      </c>
      <c r="D175" s="564" t="s">
        <v>771</v>
      </c>
      <c r="E175" s="696">
        <v>788906.25</v>
      </c>
      <c r="F175" s="566">
        <v>5</v>
      </c>
      <c r="G175" s="566">
        <v>5.8999999999999995</v>
      </c>
      <c r="H175" s="566">
        <v>7.7</v>
      </c>
      <c r="I175" s="567">
        <v>2.1399643403563062</v>
      </c>
      <c r="J175" s="568">
        <v>1.3424833386732682</v>
      </c>
      <c r="K175" s="571">
        <v>0.40153846153846162</v>
      </c>
      <c r="L175" s="571">
        <v>0.435</v>
      </c>
      <c r="M175" s="571">
        <v>0.16346153846153846</v>
      </c>
      <c r="N175" s="571">
        <v>0</v>
      </c>
      <c r="O175" s="571"/>
      <c r="P175" s="571"/>
      <c r="Q175" s="572"/>
      <c r="R175" s="557"/>
      <c r="S175" s="603">
        <f t="shared" si="27"/>
        <v>1</v>
      </c>
      <c r="T175" s="599">
        <f t="shared" si="28"/>
        <v>0</v>
      </c>
    </row>
    <row r="176" spans="1:20" ht="15">
      <c r="A176" s="1215"/>
      <c r="B176" s="564">
        <v>12</v>
      </c>
      <c r="C176" s="565" t="s">
        <v>1085</v>
      </c>
      <c r="D176" s="564" t="s">
        <v>770</v>
      </c>
      <c r="E176" s="696">
        <v>500000</v>
      </c>
      <c r="F176" s="566">
        <v>8</v>
      </c>
      <c r="G176" s="566">
        <v>8</v>
      </c>
      <c r="H176" s="566">
        <v>8</v>
      </c>
      <c r="I176" s="567">
        <v>2.5339182573320693</v>
      </c>
      <c r="J176" s="568">
        <v>1.4830906068478693</v>
      </c>
      <c r="K176" s="571">
        <v>0.21306122448979584</v>
      </c>
      <c r="L176" s="571">
        <v>0.46163265306122453</v>
      </c>
      <c r="M176" s="571">
        <v>0.32530612244897961</v>
      </c>
      <c r="N176" s="571">
        <v>0</v>
      </c>
      <c r="O176" s="571"/>
      <c r="P176" s="571"/>
      <c r="Q176" s="572"/>
      <c r="R176" s="557"/>
      <c r="S176" s="603">
        <f t="shared" si="27"/>
        <v>0</v>
      </c>
      <c r="T176" s="599">
        <f t="shared" si="28"/>
        <v>1</v>
      </c>
    </row>
    <row r="177" spans="1:20" ht="15">
      <c r="A177" s="1215"/>
      <c r="B177" s="564">
        <v>13</v>
      </c>
      <c r="C177" s="565" t="s">
        <v>1086</v>
      </c>
      <c r="D177" s="564" t="s">
        <v>770</v>
      </c>
      <c r="E177" s="696">
        <v>405000</v>
      </c>
      <c r="F177" s="566">
        <v>11</v>
      </c>
      <c r="G177" s="566">
        <v>11</v>
      </c>
      <c r="H177" s="566">
        <v>11</v>
      </c>
      <c r="I177" s="567">
        <v>2.5339182573320693</v>
      </c>
      <c r="J177" s="568">
        <v>1.4830906068478693</v>
      </c>
      <c r="K177" s="571">
        <v>0.21306122448979584</v>
      </c>
      <c r="L177" s="571">
        <v>0.46163265306122453</v>
      </c>
      <c r="M177" s="571">
        <v>0.32530612244897961</v>
      </c>
      <c r="N177" s="571">
        <v>0</v>
      </c>
      <c r="O177" s="571"/>
      <c r="P177" s="571"/>
      <c r="Q177" s="572"/>
      <c r="R177" s="557"/>
      <c r="S177" s="603">
        <f t="shared" si="27"/>
        <v>0</v>
      </c>
      <c r="T177" s="599">
        <f t="shared" si="28"/>
        <v>1</v>
      </c>
    </row>
    <row r="178" spans="1:20" ht="15">
      <c r="A178" s="1215"/>
      <c r="B178" s="564">
        <v>14</v>
      </c>
      <c r="C178" s="565" t="s">
        <v>1110</v>
      </c>
      <c r="D178" s="564" t="s">
        <v>771</v>
      </c>
      <c r="E178" s="696">
        <v>395390.20950000006</v>
      </c>
      <c r="F178" s="566">
        <v>5</v>
      </c>
      <c r="G178" s="566">
        <v>5</v>
      </c>
      <c r="H178" s="566">
        <v>5</v>
      </c>
      <c r="I178" s="567">
        <v>1.9881186723518185</v>
      </c>
      <c r="J178" s="568">
        <v>1.3088126773682838</v>
      </c>
      <c r="K178" s="571">
        <v>0.18454545454545451</v>
      </c>
      <c r="L178" s="571">
        <v>0.60636363636363644</v>
      </c>
      <c r="M178" s="571">
        <v>0.20909090909090911</v>
      </c>
      <c r="N178" s="571">
        <v>0</v>
      </c>
      <c r="O178" s="571"/>
      <c r="P178" s="571"/>
      <c r="Q178" s="572"/>
      <c r="R178" s="557"/>
      <c r="S178" s="603">
        <f t="shared" si="27"/>
        <v>1</v>
      </c>
      <c r="T178" s="599">
        <f t="shared" si="28"/>
        <v>0</v>
      </c>
    </row>
    <row r="179" spans="1:20" ht="15">
      <c r="A179" s="1215"/>
      <c r="B179" s="564">
        <v>15</v>
      </c>
      <c r="C179" s="565" t="s">
        <v>1040</v>
      </c>
      <c r="D179" s="564" t="s">
        <v>770</v>
      </c>
      <c r="E179" s="696">
        <v>323501.08049999998</v>
      </c>
      <c r="F179" s="566">
        <v>5</v>
      </c>
      <c r="G179" s="566">
        <v>5</v>
      </c>
      <c r="H179" s="566">
        <v>5</v>
      </c>
      <c r="I179" s="567">
        <v>1.9881186723518185</v>
      </c>
      <c r="J179" s="568">
        <v>1.3088126773682838</v>
      </c>
      <c r="K179" s="571">
        <v>0.18454545454545451</v>
      </c>
      <c r="L179" s="571">
        <v>0.60636363636363644</v>
      </c>
      <c r="M179" s="571">
        <v>0.20909090909090911</v>
      </c>
      <c r="N179" s="571">
        <v>0</v>
      </c>
      <c r="O179" s="571"/>
      <c r="P179" s="571"/>
      <c r="Q179" s="572"/>
      <c r="R179" s="557"/>
      <c r="S179" s="603">
        <f t="shared" si="27"/>
        <v>0</v>
      </c>
      <c r="T179" s="599">
        <f t="shared" si="28"/>
        <v>1</v>
      </c>
    </row>
    <row r="180" spans="1:20" ht="15">
      <c r="A180" s="1215"/>
      <c r="B180" s="564">
        <v>16</v>
      </c>
      <c r="C180" s="565" t="s">
        <v>1078</v>
      </c>
      <c r="D180" s="564" t="s">
        <v>770</v>
      </c>
      <c r="E180" s="696">
        <v>91500.061000000002</v>
      </c>
      <c r="F180" s="566">
        <v>5</v>
      </c>
      <c r="G180" s="566">
        <v>5</v>
      </c>
      <c r="H180" s="566">
        <v>5</v>
      </c>
      <c r="I180" s="567">
        <v>2.1399643403563062</v>
      </c>
      <c r="J180" s="568">
        <v>1.3424833386732682</v>
      </c>
      <c r="K180" s="571">
        <v>0.21306122448979584</v>
      </c>
      <c r="L180" s="571">
        <v>0.46163265306122453</v>
      </c>
      <c r="M180" s="571">
        <v>0.32530612244897961</v>
      </c>
      <c r="N180" s="571">
        <v>0</v>
      </c>
      <c r="O180" s="571"/>
      <c r="P180" s="571"/>
      <c r="Q180" s="572"/>
      <c r="R180" s="557"/>
      <c r="S180" s="603">
        <f t="shared" si="27"/>
        <v>0</v>
      </c>
      <c r="T180" s="599">
        <f t="shared" si="28"/>
        <v>1</v>
      </c>
    </row>
    <row r="181" spans="1:20" ht="15">
      <c r="A181" s="1215"/>
      <c r="B181" s="564">
        <v>17</v>
      </c>
      <c r="C181" s="565" t="s">
        <v>1077</v>
      </c>
      <c r="D181" s="564" t="s">
        <v>770</v>
      </c>
      <c r="E181" s="696">
        <v>60000</v>
      </c>
      <c r="F181" s="566">
        <v>4</v>
      </c>
      <c r="G181" s="566">
        <v>6</v>
      </c>
      <c r="H181" s="566">
        <v>8</v>
      </c>
      <c r="I181" s="567">
        <v>2.1747396831740726</v>
      </c>
      <c r="J181" s="567">
        <v>1.3333567987466031</v>
      </c>
      <c r="K181" s="567">
        <v>0.24166666666666664</v>
      </c>
      <c r="L181" s="567">
        <v>0.38666666666666666</v>
      </c>
      <c r="M181" s="567">
        <v>0.3716666666666667</v>
      </c>
      <c r="N181" s="567">
        <v>0</v>
      </c>
      <c r="O181" s="564"/>
      <c r="P181" s="564"/>
      <c r="Q181" s="573"/>
      <c r="R181" s="557"/>
      <c r="S181" s="603">
        <f t="shared" si="27"/>
        <v>0</v>
      </c>
      <c r="T181" s="599">
        <f t="shared" si="28"/>
        <v>1</v>
      </c>
    </row>
    <row r="182" spans="1:20" ht="15">
      <c r="A182" s="1215"/>
      <c r="B182" s="564">
        <v>18</v>
      </c>
      <c r="C182" s="565" t="s">
        <v>1076</v>
      </c>
      <c r="D182" s="564" t="s">
        <v>770</v>
      </c>
      <c r="E182" s="696">
        <v>50000</v>
      </c>
      <c r="F182" s="566">
        <v>10</v>
      </c>
      <c r="G182" s="566">
        <v>10</v>
      </c>
      <c r="H182" s="566">
        <v>10</v>
      </c>
      <c r="I182" s="567">
        <v>2.1747396831740726</v>
      </c>
      <c r="J182" s="567">
        <v>1.3333567987466031</v>
      </c>
      <c r="K182" s="567">
        <v>0.40153846153846162</v>
      </c>
      <c r="L182" s="567">
        <v>0.435</v>
      </c>
      <c r="M182" s="567">
        <v>0.16346153846153846</v>
      </c>
      <c r="N182" s="567">
        <v>0</v>
      </c>
      <c r="O182" s="564"/>
      <c r="P182" s="564"/>
      <c r="Q182" s="573"/>
      <c r="R182" s="557"/>
      <c r="S182" s="603">
        <f t="shared" si="27"/>
        <v>0</v>
      </c>
      <c r="T182" s="599">
        <f t="shared" si="28"/>
        <v>1</v>
      </c>
    </row>
    <row r="183" spans="1:20" ht="15">
      <c r="A183" s="1215"/>
      <c r="B183" s="564">
        <v>19</v>
      </c>
      <c r="C183" s="565"/>
      <c r="D183" s="564"/>
      <c r="E183" s="696"/>
      <c r="F183" s="566"/>
      <c r="G183" s="566"/>
      <c r="H183" s="566"/>
      <c r="I183" s="567"/>
      <c r="J183" s="567"/>
      <c r="K183" s="564"/>
      <c r="L183" s="564"/>
      <c r="M183" s="564"/>
      <c r="N183" s="564"/>
      <c r="O183" s="564"/>
      <c r="P183" s="564"/>
      <c r="Q183" s="573"/>
      <c r="R183" s="557"/>
      <c r="S183" s="603">
        <f t="shared" si="27"/>
        <v>0</v>
      </c>
      <c r="T183" s="599">
        <f t="shared" si="28"/>
        <v>0</v>
      </c>
    </row>
    <row r="184" spans="1:20" ht="15">
      <c r="A184" s="1215"/>
      <c r="B184" s="564">
        <v>20</v>
      </c>
      <c r="C184" s="565"/>
      <c r="D184" s="564"/>
      <c r="E184" s="696"/>
      <c r="F184" s="566"/>
      <c r="G184" s="566"/>
      <c r="H184" s="566"/>
      <c r="I184" s="567"/>
      <c r="J184" s="567"/>
      <c r="K184" s="564"/>
      <c r="L184" s="564"/>
      <c r="M184" s="564"/>
      <c r="N184" s="564"/>
      <c r="O184" s="564"/>
      <c r="P184" s="564"/>
      <c r="Q184" s="573"/>
      <c r="R184" s="557"/>
      <c r="S184" s="603">
        <f t="shared" si="27"/>
        <v>0</v>
      </c>
      <c r="T184" s="599">
        <f t="shared" si="28"/>
        <v>0</v>
      </c>
    </row>
    <row r="185" spans="1:20" ht="15">
      <c r="A185" s="1215"/>
      <c r="B185" s="564">
        <v>21</v>
      </c>
      <c r="C185" s="565"/>
      <c r="D185" s="564"/>
      <c r="E185" s="696"/>
      <c r="F185" s="566"/>
      <c r="G185" s="566"/>
      <c r="H185" s="566"/>
      <c r="I185" s="567"/>
      <c r="J185" s="567"/>
      <c r="K185" s="564"/>
      <c r="L185" s="564"/>
      <c r="M185" s="564"/>
      <c r="N185" s="564"/>
      <c r="O185" s="564"/>
      <c r="P185" s="564"/>
      <c r="Q185" s="573"/>
      <c r="R185" s="557"/>
      <c r="S185" s="603">
        <f t="shared" si="27"/>
        <v>0</v>
      </c>
      <c r="T185" s="599">
        <f t="shared" si="28"/>
        <v>0</v>
      </c>
    </row>
    <row r="186" spans="1:20" ht="15">
      <c r="A186" s="1215"/>
      <c r="B186" s="564">
        <v>22</v>
      </c>
      <c r="C186" s="565"/>
      <c r="D186" s="564"/>
      <c r="E186" s="696"/>
      <c r="F186" s="566"/>
      <c r="G186" s="566"/>
      <c r="H186" s="566"/>
      <c r="I186" s="567"/>
      <c r="J186" s="567"/>
      <c r="K186" s="564"/>
      <c r="L186" s="564"/>
      <c r="M186" s="564"/>
      <c r="N186" s="564"/>
      <c r="O186" s="564"/>
      <c r="P186" s="564"/>
      <c r="Q186" s="573"/>
      <c r="R186" s="557"/>
      <c r="S186" s="603">
        <f t="shared" si="27"/>
        <v>0</v>
      </c>
      <c r="T186" s="599">
        <f t="shared" si="28"/>
        <v>0</v>
      </c>
    </row>
    <row r="187" spans="1:20" ht="15">
      <c r="A187" s="1215"/>
      <c r="B187" s="564">
        <v>23</v>
      </c>
      <c r="C187" s="565"/>
      <c r="D187" s="564"/>
      <c r="E187" s="696"/>
      <c r="F187" s="566"/>
      <c r="G187" s="566"/>
      <c r="H187" s="566"/>
      <c r="I187" s="567"/>
      <c r="J187" s="567"/>
      <c r="K187" s="564"/>
      <c r="L187" s="564"/>
      <c r="M187" s="564"/>
      <c r="N187" s="564"/>
      <c r="O187" s="564"/>
      <c r="P187" s="564"/>
      <c r="Q187" s="573"/>
      <c r="R187" s="557"/>
      <c r="S187" s="603">
        <f t="shared" si="27"/>
        <v>0</v>
      </c>
      <c r="T187" s="599">
        <f t="shared" si="28"/>
        <v>0</v>
      </c>
    </row>
    <row r="188" spans="1:20" ht="15">
      <c r="A188" s="1215"/>
      <c r="B188" s="564">
        <v>24</v>
      </c>
      <c r="C188" s="565"/>
      <c r="D188" s="564"/>
      <c r="E188" s="696"/>
      <c r="F188" s="566"/>
      <c r="G188" s="566"/>
      <c r="H188" s="566"/>
      <c r="I188" s="567"/>
      <c r="J188" s="567"/>
      <c r="K188" s="564"/>
      <c r="L188" s="564"/>
      <c r="M188" s="564"/>
      <c r="N188" s="564"/>
      <c r="O188" s="564"/>
      <c r="P188" s="564"/>
      <c r="Q188" s="573"/>
      <c r="R188" s="557"/>
      <c r="S188" s="603">
        <f t="shared" si="27"/>
        <v>0</v>
      </c>
      <c r="T188" s="599">
        <f t="shared" si="28"/>
        <v>0</v>
      </c>
    </row>
    <row r="189" spans="1:20" ht="15">
      <c r="A189" s="1215"/>
      <c r="B189" s="564">
        <v>25</v>
      </c>
      <c r="C189" s="565"/>
      <c r="D189" s="564"/>
      <c r="E189" s="696"/>
      <c r="F189" s="566"/>
      <c r="G189" s="566"/>
      <c r="H189" s="566"/>
      <c r="I189" s="567"/>
      <c r="J189" s="567"/>
      <c r="K189" s="564"/>
      <c r="L189" s="564"/>
      <c r="M189" s="564"/>
      <c r="N189" s="564"/>
      <c r="O189" s="564"/>
      <c r="P189" s="564"/>
      <c r="Q189" s="573"/>
      <c r="R189" s="557"/>
      <c r="S189" s="603">
        <f t="shared" si="27"/>
        <v>0</v>
      </c>
      <c r="T189" s="599">
        <f t="shared" si="28"/>
        <v>0</v>
      </c>
    </row>
    <row r="190" spans="1:20" ht="15">
      <c r="A190" s="1215"/>
      <c r="B190" s="564">
        <v>26</v>
      </c>
      <c r="C190" s="565"/>
      <c r="D190" s="564"/>
      <c r="E190" s="697"/>
      <c r="F190" s="695"/>
      <c r="G190" s="695"/>
      <c r="H190" s="695"/>
      <c r="I190" s="693"/>
      <c r="J190" s="693"/>
      <c r="K190" s="574"/>
      <c r="L190" s="574"/>
      <c r="M190" s="574"/>
      <c r="N190" s="574"/>
      <c r="O190" s="574"/>
      <c r="P190" s="574"/>
      <c r="Q190" s="575"/>
      <c r="R190" s="557"/>
      <c r="S190" s="603">
        <f t="shared" si="27"/>
        <v>0</v>
      </c>
      <c r="T190" s="599">
        <f t="shared" si="28"/>
        <v>0</v>
      </c>
    </row>
    <row r="191" spans="1:20" ht="15">
      <c r="A191" s="1215"/>
      <c r="B191" s="564">
        <v>27</v>
      </c>
      <c r="C191" s="565"/>
      <c r="D191" s="564"/>
      <c r="E191" s="697"/>
      <c r="F191" s="695"/>
      <c r="G191" s="695"/>
      <c r="H191" s="695"/>
      <c r="I191" s="693"/>
      <c r="J191" s="693"/>
      <c r="K191" s="574"/>
      <c r="L191" s="574"/>
      <c r="M191" s="574"/>
      <c r="N191" s="574"/>
      <c r="O191" s="574"/>
      <c r="P191" s="574"/>
      <c r="Q191" s="575"/>
      <c r="R191" s="557"/>
      <c r="S191" s="603">
        <f t="shared" si="27"/>
        <v>0</v>
      </c>
      <c r="T191" s="599">
        <f t="shared" si="28"/>
        <v>0</v>
      </c>
    </row>
    <row r="192" spans="1:20" ht="15">
      <c r="A192" s="1215"/>
      <c r="B192" s="564">
        <v>28</v>
      </c>
      <c r="C192" s="565"/>
      <c r="D192" s="564"/>
      <c r="E192" s="697"/>
      <c r="F192" s="695"/>
      <c r="G192" s="695"/>
      <c r="H192" s="695"/>
      <c r="I192" s="693"/>
      <c r="J192" s="693"/>
      <c r="K192" s="574"/>
      <c r="L192" s="574"/>
      <c r="M192" s="574"/>
      <c r="N192" s="574"/>
      <c r="O192" s="574"/>
      <c r="P192" s="574"/>
      <c r="Q192" s="575"/>
      <c r="R192" s="557"/>
      <c r="S192" s="603">
        <f t="shared" si="27"/>
        <v>0</v>
      </c>
      <c r="T192" s="599">
        <f t="shared" si="28"/>
        <v>0</v>
      </c>
    </row>
    <row r="193" spans="1:20" ht="15">
      <c r="A193" s="1215"/>
      <c r="B193" s="564">
        <v>29</v>
      </c>
      <c r="C193" s="565"/>
      <c r="D193" s="564"/>
      <c r="E193" s="697"/>
      <c r="F193" s="695"/>
      <c r="G193" s="695"/>
      <c r="H193" s="695"/>
      <c r="I193" s="693"/>
      <c r="J193" s="693"/>
      <c r="K193" s="574"/>
      <c r="L193" s="574"/>
      <c r="M193" s="574"/>
      <c r="N193" s="574"/>
      <c r="O193" s="574"/>
      <c r="P193" s="574"/>
      <c r="Q193" s="575"/>
      <c r="R193" s="557"/>
      <c r="S193" s="603">
        <f t="shared" si="27"/>
        <v>0</v>
      </c>
      <c r="T193" s="599">
        <f t="shared" si="28"/>
        <v>0</v>
      </c>
    </row>
    <row r="194" spans="1:20" ht="15">
      <c r="A194" s="1215"/>
      <c r="B194" s="564">
        <v>30</v>
      </c>
      <c r="C194" s="565"/>
      <c r="D194" s="564"/>
      <c r="E194" s="697"/>
      <c r="F194" s="695"/>
      <c r="G194" s="695"/>
      <c r="H194" s="695"/>
      <c r="I194" s="693"/>
      <c r="J194" s="693"/>
      <c r="K194" s="574"/>
      <c r="L194" s="574"/>
      <c r="M194" s="574"/>
      <c r="N194" s="574"/>
      <c r="O194" s="574"/>
      <c r="P194" s="574"/>
      <c r="Q194" s="575"/>
      <c r="R194" s="557"/>
      <c r="S194" s="603">
        <f t="shared" si="27"/>
        <v>0</v>
      </c>
      <c r="T194" s="599">
        <f t="shared" si="28"/>
        <v>0</v>
      </c>
    </row>
    <row r="195" spans="1:20" ht="15">
      <c r="A195" s="1215"/>
      <c r="B195" s="564">
        <v>31</v>
      </c>
      <c r="C195" s="565"/>
      <c r="D195" s="564"/>
      <c r="E195" s="696"/>
      <c r="F195" s="566"/>
      <c r="G195" s="566"/>
      <c r="H195" s="566"/>
      <c r="I195" s="567"/>
      <c r="J195" s="567"/>
      <c r="K195" s="564"/>
      <c r="L195" s="564"/>
      <c r="M195" s="564"/>
      <c r="N195" s="564"/>
      <c r="O195" s="564"/>
      <c r="P195" s="564"/>
      <c r="Q195" s="573"/>
      <c r="R195" s="557"/>
      <c r="S195" s="603">
        <f t="shared" si="27"/>
        <v>0</v>
      </c>
      <c r="T195" s="599">
        <f t="shared" si="28"/>
        <v>0</v>
      </c>
    </row>
    <row r="196" spans="1:20" ht="15">
      <c r="A196" s="1215"/>
      <c r="B196" s="564">
        <v>32</v>
      </c>
      <c r="C196" s="565"/>
      <c r="D196" s="564"/>
      <c r="E196" s="696"/>
      <c r="F196" s="566"/>
      <c r="G196" s="566"/>
      <c r="H196" s="566"/>
      <c r="I196" s="567"/>
      <c r="J196" s="567"/>
      <c r="K196" s="564"/>
      <c r="L196" s="564"/>
      <c r="M196" s="564"/>
      <c r="N196" s="564"/>
      <c r="O196" s="564"/>
      <c r="P196" s="564"/>
      <c r="Q196" s="573"/>
      <c r="R196" s="557"/>
      <c r="S196" s="603">
        <f t="shared" si="27"/>
        <v>0</v>
      </c>
      <c r="T196" s="599">
        <f t="shared" si="28"/>
        <v>0</v>
      </c>
    </row>
    <row r="197" spans="1:20" ht="15">
      <c r="A197" s="1215"/>
      <c r="B197" s="564">
        <v>33</v>
      </c>
      <c r="C197" s="565"/>
      <c r="D197" s="564"/>
      <c r="E197" s="696"/>
      <c r="F197" s="566"/>
      <c r="G197" s="566"/>
      <c r="H197" s="566"/>
      <c r="I197" s="567"/>
      <c r="J197" s="567"/>
      <c r="K197" s="564"/>
      <c r="L197" s="564"/>
      <c r="M197" s="564"/>
      <c r="N197" s="564"/>
      <c r="O197" s="564"/>
      <c r="P197" s="564"/>
      <c r="Q197" s="573"/>
      <c r="R197" s="557"/>
      <c r="S197" s="603">
        <f t="shared" si="27"/>
        <v>0</v>
      </c>
      <c r="T197" s="599">
        <f t="shared" si="28"/>
        <v>0</v>
      </c>
    </row>
    <row r="198" spans="1:20" ht="15">
      <c r="A198" s="1215"/>
      <c r="B198" s="564">
        <v>34</v>
      </c>
      <c r="C198" s="565"/>
      <c r="D198" s="564"/>
      <c r="E198" s="696"/>
      <c r="F198" s="566"/>
      <c r="G198" s="566"/>
      <c r="H198" s="566"/>
      <c r="I198" s="567"/>
      <c r="J198" s="567"/>
      <c r="K198" s="564"/>
      <c r="L198" s="564"/>
      <c r="M198" s="564"/>
      <c r="N198" s="564"/>
      <c r="O198" s="564"/>
      <c r="P198" s="564"/>
      <c r="Q198" s="573"/>
      <c r="R198" s="557"/>
      <c r="S198" s="603">
        <f t="shared" si="27"/>
        <v>0</v>
      </c>
      <c r="T198" s="599">
        <f t="shared" si="28"/>
        <v>0</v>
      </c>
    </row>
    <row r="199" spans="1:20" ht="15">
      <c r="A199" s="1215"/>
      <c r="B199" s="564">
        <v>35</v>
      </c>
      <c r="C199" s="565"/>
      <c r="D199" s="564"/>
      <c r="E199" s="696"/>
      <c r="F199" s="566"/>
      <c r="G199" s="566"/>
      <c r="H199" s="566"/>
      <c r="I199" s="567"/>
      <c r="J199" s="567"/>
      <c r="K199" s="564"/>
      <c r="L199" s="564"/>
      <c r="M199" s="564"/>
      <c r="N199" s="564"/>
      <c r="O199" s="564"/>
      <c r="P199" s="564"/>
      <c r="Q199" s="573"/>
      <c r="R199" s="557"/>
      <c r="S199" s="603">
        <f t="shared" si="27"/>
        <v>0</v>
      </c>
      <c r="T199" s="599">
        <f t="shared" si="28"/>
        <v>0</v>
      </c>
    </row>
    <row r="200" spans="1:20" ht="15">
      <c r="A200" s="1215"/>
      <c r="B200" s="564">
        <v>36</v>
      </c>
      <c r="C200" s="565"/>
      <c r="D200" s="564"/>
      <c r="E200" s="696"/>
      <c r="F200" s="566"/>
      <c r="G200" s="566"/>
      <c r="H200" s="566"/>
      <c r="I200" s="567"/>
      <c r="J200" s="567"/>
      <c r="K200" s="564"/>
      <c r="L200" s="564"/>
      <c r="M200" s="564"/>
      <c r="N200" s="564"/>
      <c r="O200" s="564"/>
      <c r="P200" s="564"/>
      <c r="Q200" s="573"/>
      <c r="R200" s="557"/>
      <c r="S200" s="603">
        <f t="shared" si="27"/>
        <v>0</v>
      </c>
      <c r="T200" s="599">
        <f t="shared" si="28"/>
        <v>0</v>
      </c>
    </row>
    <row r="201" spans="1:20" ht="15">
      <c r="A201" s="1215"/>
      <c r="B201" s="564">
        <v>37</v>
      </c>
      <c r="C201" s="565"/>
      <c r="D201" s="564"/>
      <c r="E201" s="696"/>
      <c r="F201" s="566"/>
      <c r="G201" s="566"/>
      <c r="H201" s="566"/>
      <c r="I201" s="567"/>
      <c r="J201" s="567"/>
      <c r="K201" s="564"/>
      <c r="L201" s="564"/>
      <c r="M201" s="564"/>
      <c r="N201" s="564"/>
      <c r="O201" s="564"/>
      <c r="P201" s="564"/>
      <c r="Q201" s="573"/>
      <c r="R201" s="557"/>
      <c r="S201" s="603">
        <f t="shared" si="27"/>
        <v>0</v>
      </c>
      <c r="T201" s="599">
        <f t="shared" si="28"/>
        <v>0</v>
      </c>
    </row>
    <row r="202" spans="1:20" ht="15">
      <c r="A202" s="1215"/>
      <c r="B202" s="564">
        <v>38</v>
      </c>
      <c r="C202" s="565"/>
      <c r="D202" s="564"/>
      <c r="E202" s="696"/>
      <c r="F202" s="566"/>
      <c r="G202" s="566"/>
      <c r="H202" s="566"/>
      <c r="I202" s="567"/>
      <c r="J202" s="567"/>
      <c r="K202" s="564"/>
      <c r="L202" s="564"/>
      <c r="M202" s="564"/>
      <c r="N202" s="564"/>
      <c r="O202" s="564"/>
      <c r="P202" s="564"/>
      <c r="Q202" s="573"/>
      <c r="R202" s="557"/>
      <c r="S202" s="603">
        <f t="shared" si="27"/>
        <v>0</v>
      </c>
      <c r="T202" s="599">
        <f t="shared" si="28"/>
        <v>0</v>
      </c>
    </row>
    <row r="203" spans="1:20" ht="15">
      <c r="A203" s="1215"/>
      <c r="B203" s="564">
        <v>39</v>
      </c>
      <c r="C203" s="565"/>
      <c r="D203" s="564"/>
      <c r="E203" s="696"/>
      <c r="F203" s="566"/>
      <c r="G203" s="566"/>
      <c r="H203" s="566"/>
      <c r="I203" s="567"/>
      <c r="J203" s="567"/>
      <c r="K203" s="564"/>
      <c r="L203" s="564"/>
      <c r="M203" s="564"/>
      <c r="N203" s="564"/>
      <c r="O203" s="564"/>
      <c r="P203" s="564"/>
      <c r="Q203" s="573"/>
      <c r="R203" s="557"/>
      <c r="S203" s="603">
        <f t="shared" si="27"/>
        <v>0</v>
      </c>
      <c r="T203" s="599">
        <f t="shared" si="28"/>
        <v>0</v>
      </c>
    </row>
    <row r="204" spans="1:20" ht="15.75" thickBot="1">
      <c r="A204" s="1215"/>
      <c r="B204" s="564">
        <v>40</v>
      </c>
      <c r="C204" s="565"/>
      <c r="D204" s="564"/>
      <c r="E204" s="696"/>
      <c r="F204" s="566"/>
      <c r="G204" s="566"/>
      <c r="H204" s="566"/>
      <c r="I204" s="567"/>
      <c r="J204" s="567"/>
      <c r="K204" s="564"/>
      <c r="L204" s="564"/>
      <c r="M204" s="564"/>
      <c r="N204" s="564"/>
      <c r="O204" s="564"/>
      <c r="P204" s="564"/>
      <c r="Q204" s="573"/>
      <c r="R204" s="557"/>
      <c r="S204" s="604">
        <f t="shared" si="27"/>
        <v>0</v>
      </c>
      <c r="T204" s="600">
        <f t="shared" si="28"/>
        <v>0</v>
      </c>
    </row>
    <row r="205" spans="1:20" ht="15.75" thickBot="1">
      <c r="A205" s="1215"/>
      <c r="B205" s="576"/>
      <c r="C205" s="576"/>
      <c r="D205" s="576"/>
      <c r="E205" s="576"/>
      <c r="F205" s="576"/>
      <c r="G205" s="576"/>
      <c r="H205" s="576"/>
      <c r="I205" s="699"/>
      <c r="J205" s="699"/>
      <c r="K205" s="576"/>
      <c r="L205" s="576"/>
      <c r="M205" s="576"/>
      <c r="N205" s="576"/>
      <c r="O205" s="576"/>
      <c r="P205" s="576"/>
      <c r="Q205" s="576"/>
      <c r="R205" s="557"/>
    </row>
    <row r="206" spans="1:20" ht="15">
      <c r="A206" s="1215"/>
      <c r="B206" s="613"/>
      <c r="C206" s="614"/>
      <c r="D206" s="617" t="s">
        <v>968</v>
      </c>
      <c r="E206" s="700">
        <f>SUMPRODUCT(T165:T204,E165:E204)</f>
        <v>35453824.891499996</v>
      </c>
      <c r="F206" s="578"/>
      <c r="G206" s="578"/>
      <c r="H206" s="578"/>
      <c r="I206" s="579"/>
      <c r="J206" s="580"/>
      <c r="K206" s="581"/>
      <c r="L206" s="581"/>
      <c r="M206" s="581"/>
      <c r="N206" s="581"/>
      <c r="O206" s="581"/>
      <c r="P206" s="581"/>
      <c r="Q206" s="582"/>
      <c r="R206" s="185"/>
      <c r="S206" s="606">
        <f>SUM(S165:S204)</f>
        <v>5</v>
      </c>
      <c r="T206" s="606">
        <f>SUM(T165:T204)</f>
        <v>13</v>
      </c>
    </row>
    <row r="207" spans="1:20" ht="15.75" thickBot="1">
      <c r="A207" s="1215"/>
      <c r="B207" s="615"/>
      <c r="C207" s="616"/>
      <c r="D207" s="618" t="s">
        <v>969</v>
      </c>
      <c r="E207" s="701"/>
      <c r="F207" s="584">
        <f>IF($T206=0,0,(SUMPRODUCT($T165:$T204,F165:F204,$E165:$E204)/$E206))</f>
        <v>3.5872644868845103</v>
      </c>
      <c r="G207" s="584">
        <f t="shared" ref="G207:H207" si="29">IF($T206=0,0,(SUMPRODUCT($T165:$T204,G165:G204,$E165:$E204)/$E206))</f>
        <v>4.3362737815450298</v>
      </c>
      <c r="H207" s="584">
        <f t="shared" si="29"/>
        <v>5.7290829185315131</v>
      </c>
      <c r="I207" s="585">
        <f t="shared" ref="I207:J207" si="30">IF($T206=0,0,(SUMPRODUCT($T165:$T204,I165:I204,$E165:$E204)/$E206))</f>
        <v>2.009456048108583</v>
      </c>
      <c r="J207" s="585">
        <f t="shared" si="30"/>
        <v>1.3229655929532964</v>
      </c>
      <c r="K207" s="587">
        <f t="shared" ref="K207:Q207" si="31">IF($T206=0,0,(SUMPRODUCT($T165:$T204,K165:K204,$E165:$E204)/$E206))</f>
        <v>0.12602221782994141</v>
      </c>
      <c r="L207" s="587">
        <f t="shared" si="31"/>
        <v>0.41428794421153042</v>
      </c>
      <c r="M207" s="587">
        <f t="shared" si="31"/>
        <v>0.45968983795852808</v>
      </c>
      <c r="N207" s="587">
        <f t="shared" si="31"/>
        <v>0</v>
      </c>
      <c r="O207" s="587">
        <f t="shared" si="31"/>
        <v>0</v>
      </c>
      <c r="P207" s="587">
        <f t="shared" si="31"/>
        <v>0</v>
      </c>
      <c r="Q207" s="588">
        <f t="shared" si="31"/>
        <v>0</v>
      </c>
      <c r="R207" s="185"/>
    </row>
    <row r="208" spans="1:20" ht="15">
      <c r="A208" s="1215"/>
      <c r="B208" s="613"/>
      <c r="C208" s="614"/>
      <c r="D208" s="617" t="s">
        <v>970</v>
      </c>
      <c r="E208" s="700">
        <f>SUMPRODUCT(S165:S204,E165:E204)</f>
        <v>25471856.4595</v>
      </c>
      <c r="F208" s="578"/>
      <c r="G208" s="578"/>
      <c r="H208" s="578"/>
      <c r="I208" s="579"/>
      <c r="J208" s="589"/>
      <c r="K208" s="581"/>
      <c r="L208" s="581"/>
      <c r="M208" s="581"/>
      <c r="N208" s="581"/>
      <c r="O208" s="581"/>
      <c r="P208" s="581"/>
      <c r="Q208" s="582"/>
      <c r="R208" s="185"/>
    </row>
    <row r="209" spans="1:20" ht="15.75" thickBot="1">
      <c r="A209" s="1215"/>
      <c r="B209" s="615"/>
      <c r="C209" s="616"/>
      <c r="D209" s="618" t="s">
        <v>971</v>
      </c>
      <c r="E209" s="701"/>
      <c r="F209" s="584">
        <f>IF($S206=0,0,(SUMPRODUCT($S165:$S204,F165:F204,$E165:$E204)/$E208))</f>
        <v>2.8520977618184196</v>
      </c>
      <c r="G209" s="584">
        <f t="shared" ref="G209:H209" si="32">IF($S206=0,0,(SUMPRODUCT($S165:$S204,G165:G204,$E165:$E204)/$E208))</f>
        <v>3.649470991784086</v>
      </c>
      <c r="H209" s="584">
        <f t="shared" si="32"/>
        <v>4.7243153189024429</v>
      </c>
      <c r="I209" s="585">
        <f t="shared" ref="I209:J209" si="33">IF($S206=0,0,(SUMPRODUCT($S165:$S204,I165:I204,$E165:$E204)/$E208))</f>
        <v>1.9362805311774351</v>
      </c>
      <c r="J209" s="585">
        <f t="shared" si="33"/>
        <v>1.3133779216800359</v>
      </c>
      <c r="K209" s="587">
        <f t="shared" ref="K209:Q209" si="34">IF($S206=0,0,(SUMPRODUCT($S165:$S204,K165:K204,$E165:$E204)/$E208))</f>
        <v>4.4714994873927966E-2</v>
      </c>
      <c r="L209" s="587">
        <f t="shared" si="34"/>
        <v>0.36246112434242428</v>
      </c>
      <c r="M209" s="587">
        <f t="shared" si="34"/>
        <v>0.59282388078364789</v>
      </c>
      <c r="N209" s="587">
        <f t="shared" si="34"/>
        <v>0</v>
      </c>
      <c r="O209" s="587">
        <f t="shared" si="34"/>
        <v>0</v>
      </c>
      <c r="P209" s="587">
        <f t="shared" si="34"/>
        <v>0</v>
      </c>
      <c r="Q209" s="588">
        <f t="shared" si="34"/>
        <v>0</v>
      </c>
      <c r="R209" s="185"/>
    </row>
    <row r="210" spans="1:20" ht="15">
      <c r="A210" s="1215"/>
      <c r="B210" s="613"/>
      <c r="C210" s="614"/>
      <c r="D210" s="617" t="s">
        <v>972</v>
      </c>
      <c r="E210" s="700">
        <f>SUM(E165:E204)</f>
        <v>60925681.350999996</v>
      </c>
      <c r="F210" s="578"/>
      <c r="G210" s="578"/>
      <c r="H210" s="578"/>
      <c r="I210" s="579"/>
      <c r="J210" s="580"/>
      <c r="K210" s="581"/>
      <c r="L210" s="581"/>
      <c r="M210" s="581"/>
      <c r="N210" s="581"/>
      <c r="O210" s="581"/>
      <c r="P210" s="581"/>
      <c r="Q210" s="582"/>
      <c r="R210" s="185"/>
    </row>
    <row r="211" spans="1:20" ht="15.75" thickBot="1">
      <c r="A211" s="1215"/>
      <c r="B211" s="615"/>
      <c r="C211" s="616"/>
      <c r="D211" s="618" t="s">
        <v>973</v>
      </c>
      <c r="E211" s="701"/>
      <c r="F211" s="584">
        <f>SUMPRODUCT($E165:$E204,F165:F204)/$E210</f>
        <v>3.2799054080947121</v>
      </c>
      <c r="G211" s="584">
        <f t="shared" ref="G211:H211" si="35">SUMPRODUCT($E165:$E204,G165:G204)/$E210</f>
        <v>4.0491347346135873</v>
      </c>
      <c r="H211" s="584">
        <f t="shared" si="35"/>
        <v>5.3090088954695132</v>
      </c>
      <c r="I211" s="585">
        <f t="shared" ref="I211:J211" si="36">SUMPRODUCT($E165:$E204,I165:I204)/$E210</f>
        <v>1.9788627708191313</v>
      </c>
      <c r="J211" s="585">
        <f t="shared" si="36"/>
        <v>1.3189571718566757</v>
      </c>
      <c r="K211" s="801">
        <f t="shared" ref="K211:Q211" si="37">SUMPRODUCT($E165:$E204,K165:K204)/$E210</f>
        <v>9.2029230532440401E-2</v>
      </c>
      <c r="L211" s="801">
        <f t="shared" si="37"/>
        <v>0.39262014686917768</v>
      </c>
      <c r="M211" s="801">
        <f t="shared" si="37"/>
        <v>0.51535062259838216</v>
      </c>
      <c r="N211" s="801">
        <f t="shared" si="37"/>
        <v>0</v>
      </c>
      <c r="O211" s="587">
        <f t="shared" si="37"/>
        <v>0</v>
      </c>
      <c r="P211" s="587">
        <f t="shared" si="37"/>
        <v>0</v>
      </c>
      <c r="Q211" s="588">
        <f t="shared" si="37"/>
        <v>0</v>
      </c>
      <c r="R211" s="185"/>
    </row>
    <row r="212" spans="1:20" ht="15">
      <c r="A212" s="557"/>
      <c r="B212" s="557"/>
      <c r="C212" s="557"/>
      <c r="D212" s="557"/>
      <c r="E212" s="557"/>
      <c r="F212" s="557"/>
      <c r="G212" s="557"/>
      <c r="H212" s="557"/>
      <c r="I212" s="557"/>
      <c r="J212" s="590"/>
      <c r="K212" s="557"/>
      <c r="L212" s="557"/>
      <c r="M212" s="557"/>
      <c r="N212" s="557"/>
      <c r="O212" s="557"/>
      <c r="P212" s="557"/>
      <c r="Q212" s="557"/>
      <c r="R212" s="557"/>
    </row>
    <row r="213" spans="1:20" ht="15">
      <c r="A213" s="591"/>
      <c r="B213" s="554"/>
      <c r="C213" s="591"/>
      <c r="D213" s="591"/>
      <c r="E213" s="591"/>
      <c r="F213" s="591"/>
      <c r="G213" s="591"/>
      <c r="H213" s="591"/>
      <c r="I213" s="591"/>
      <c r="J213" s="591"/>
      <c r="K213" s="554"/>
      <c r="L213" s="591"/>
      <c r="M213" s="591"/>
      <c r="N213" s="591"/>
      <c r="O213" s="591"/>
      <c r="P213" s="591"/>
      <c r="Q213" s="591"/>
      <c r="R213" s="591"/>
    </row>
    <row r="214" spans="1:20" ht="15">
      <c r="A214" s="557"/>
      <c r="B214" s="799" t="s">
        <v>1173</v>
      </c>
      <c r="C214" s="800" t="s">
        <v>1198</v>
      </c>
      <c r="D214" s="557"/>
      <c r="E214" s="557"/>
      <c r="F214" s="557"/>
      <c r="G214" s="557"/>
      <c r="H214" s="557"/>
      <c r="I214" s="557"/>
      <c r="J214" s="557"/>
      <c r="K214" s="557"/>
      <c r="L214" s="557"/>
      <c r="M214" s="557"/>
      <c r="N214" s="557"/>
      <c r="O214" s="557"/>
      <c r="P214" s="557"/>
      <c r="Q214" s="557"/>
      <c r="R214" s="557"/>
    </row>
    <row r="215" spans="1:20" ht="15" customHeight="1" thickBot="1">
      <c r="A215" s="557"/>
      <c r="B215" s="799" t="s">
        <v>1174</v>
      </c>
      <c r="C215" s="800" t="s">
        <v>1203</v>
      </c>
      <c r="D215" s="557"/>
      <c r="E215" s="557"/>
      <c r="F215" s="608"/>
      <c r="G215" s="609" t="s">
        <v>173</v>
      </c>
      <c r="H215" s="609"/>
      <c r="I215" s="557"/>
      <c r="J215" s="557"/>
      <c r="K215" s="610"/>
      <c r="L215" s="611"/>
      <c r="M215" s="611" t="s">
        <v>954</v>
      </c>
      <c r="N215" s="611"/>
      <c r="O215" s="611"/>
      <c r="P215" s="611"/>
      <c r="Q215" s="612"/>
      <c r="R215" s="557"/>
    </row>
    <row r="216" spans="1:20" ht="60.75" thickBot="1">
      <c r="A216" s="1214" t="s">
        <v>1436</v>
      </c>
      <c r="B216" s="558" t="s">
        <v>955</v>
      </c>
      <c r="C216" s="559" t="s">
        <v>104</v>
      </c>
      <c r="D216" s="558" t="s">
        <v>769</v>
      </c>
      <c r="E216" s="558" t="s">
        <v>255</v>
      </c>
      <c r="F216" s="560" t="s">
        <v>956</v>
      </c>
      <c r="G216" s="560" t="s">
        <v>957</v>
      </c>
      <c r="H216" s="560" t="s">
        <v>958</v>
      </c>
      <c r="I216" s="561" t="s">
        <v>959</v>
      </c>
      <c r="J216" s="562" t="s">
        <v>960</v>
      </c>
      <c r="K216" s="562" t="s">
        <v>961</v>
      </c>
      <c r="L216" s="562" t="s">
        <v>962</v>
      </c>
      <c r="M216" s="562" t="s">
        <v>963</v>
      </c>
      <c r="N216" s="562" t="s">
        <v>964</v>
      </c>
      <c r="O216" s="562" t="s">
        <v>965</v>
      </c>
      <c r="P216" s="562" t="s">
        <v>966</v>
      </c>
      <c r="Q216" s="563" t="s">
        <v>967</v>
      </c>
      <c r="R216" s="557"/>
      <c r="S216" s="602" t="s">
        <v>771</v>
      </c>
      <c r="T216" s="601" t="s">
        <v>770</v>
      </c>
    </row>
    <row r="217" spans="1:20" ht="15">
      <c r="A217" s="1215"/>
      <c r="B217" s="564">
        <v>1</v>
      </c>
      <c r="C217" s="565" t="s">
        <v>1095</v>
      </c>
      <c r="D217" s="564" t="s">
        <v>770</v>
      </c>
      <c r="E217" s="696">
        <v>4044950</v>
      </c>
      <c r="F217" s="566">
        <v>4</v>
      </c>
      <c r="G217" s="566">
        <v>4</v>
      </c>
      <c r="H217" s="566">
        <v>4</v>
      </c>
      <c r="I217" s="567">
        <v>2.3523607561704596</v>
      </c>
      <c r="J217" s="568">
        <v>1.3856998700804402</v>
      </c>
      <c r="K217" s="571">
        <v>0.18454545454545451</v>
      </c>
      <c r="L217" s="571">
        <v>0.60636363636363644</v>
      </c>
      <c r="M217" s="571">
        <v>7.9090909090909087E-2</v>
      </c>
      <c r="N217" s="569">
        <v>0.13</v>
      </c>
      <c r="O217" s="569"/>
      <c r="P217" s="569"/>
      <c r="Q217" s="570"/>
      <c r="R217" s="557"/>
      <c r="S217" s="603">
        <f>IF(D217="Commercial",1,0)</f>
        <v>0</v>
      </c>
      <c r="T217" s="599">
        <f>IF(D217="Residential",1,0)</f>
        <v>1</v>
      </c>
    </row>
    <row r="218" spans="1:20" ht="15">
      <c r="A218" s="1215"/>
      <c r="B218" s="564">
        <v>2</v>
      </c>
      <c r="C218" s="565" t="s">
        <v>1098</v>
      </c>
      <c r="D218" s="564" t="s">
        <v>770</v>
      </c>
      <c r="E218" s="696">
        <v>500000</v>
      </c>
      <c r="F218" s="566">
        <v>10</v>
      </c>
      <c r="G218" s="566">
        <v>10</v>
      </c>
      <c r="H218" s="566">
        <v>10</v>
      </c>
      <c r="I218" s="567">
        <v>2.3523607561704596</v>
      </c>
      <c r="J218" s="568">
        <v>1.3856998700804402</v>
      </c>
      <c r="K218" s="571">
        <v>0.78300000000000003</v>
      </c>
      <c r="L218" s="571">
        <v>4.3500000000000004E-2</v>
      </c>
      <c r="M218" s="571">
        <v>4.3500000000000004E-2</v>
      </c>
      <c r="N218" s="571">
        <v>0.13</v>
      </c>
      <c r="O218" s="571"/>
      <c r="P218" s="571"/>
      <c r="Q218" s="572"/>
      <c r="R218" s="557"/>
      <c r="S218" s="603">
        <f t="shared" ref="S218:S256" si="38">IF(D218="Commercial",1,0)</f>
        <v>0</v>
      </c>
      <c r="T218" s="599">
        <f t="shared" ref="T218:T256" si="39">IF(D218="Residential",1,0)</f>
        <v>1</v>
      </c>
    </row>
    <row r="219" spans="1:20" ht="15">
      <c r="A219" s="1215"/>
      <c r="B219" s="564">
        <v>3</v>
      </c>
      <c r="C219" s="565" t="s">
        <v>1097</v>
      </c>
      <c r="D219" s="564" t="s">
        <v>770</v>
      </c>
      <c r="E219" s="696">
        <v>192274</v>
      </c>
      <c r="F219" s="566">
        <v>9.6999999999999993</v>
      </c>
      <c r="G219" s="566">
        <v>9.6999999999999993</v>
      </c>
      <c r="H219" s="566">
        <v>9.6999999999999993</v>
      </c>
      <c r="I219" s="567">
        <v>2.3523607561704596</v>
      </c>
      <c r="J219" s="568">
        <v>1.3856998700804402</v>
      </c>
      <c r="K219" s="571">
        <v>0.72499999999999998</v>
      </c>
      <c r="L219" s="571">
        <v>0.14499999999999999</v>
      </c>
      <c r="M219" s="571">
        <v>0</v>
      </c>
      <c r="N219" s="571">
        <v>0.13</v>
      </c>
      <c r="O219" s="571"/>
      <c r="P219" s="571"/>
      <c r="Q219" s="572"/>
      <c r="R219" s="557"/>
      <c r="S219" s="603">
        <f t="shared" si="38"/>
        <v>0</v>
      </c>
      <c r="T219" s="599">
        <f t="shared" si="39"/>
        <v>1</v>
      </c>
    </row>
    <row r="220" spans="1:20" ht="15">
      <c r="A220" s="1215"/>
      <c r="B220" s="564">
        <v>4</v>
      </c>
      <c r="C220" s="565" t="s">
        <v>1096</v>
      </c>
      <c r="D220" s="564" t="s">
        <v>770</v>
      </c>
      <c r="E220" s="696">
        <v>124542.75</v>
      </c>
      <c r="F220" s="566">
        <v>9.6999999999999993</v>
      </c>
      <c r="G220" s="566">
        <v>9.6999999999999993</v>
      </c>
      <c r="H220" s="566">
        <v>9.6999999999999993</v>
      </c>
      <c r="I220" s="567">
        <v>2.3523607561704596</v>
      </c>
      <c r="J220" s="568">
        <v>1.3856998700804402</v>
      </c>
      <c r="K220" s="571">
        <v>0.72499999999999998</v>
      </c>
      <c r="L220" s="571">
        <v>0.14499999999999999</v>
      </c>
      <c r="M220" s="571">
        <v>0</v>
      </c>
      <c r="N220" s="571">
        <v>0.13</v>
      </c>
      <c r="O220" s="571"/>
      <c r="P220" s="571"/>
      <c r="Q220" s="572"/>
      <c r="R220" s="557"/>
      <c r="S220" s="603">
        <f t="shared" si="38"/>
        <v>0</v>
      </c>
      <c r="T220" s="599">
        <f t="shared" si="39"/>
        <v>1</v>
      </c>
    </row>
    <row r="221" spans="1:20" ht="15">
      <c r="A221" s="1215"/>
      <c r="B221" s="564">
        <v>5</v>
      </c>
      <c r="C221" s="565" t="s">
        <v>1087</v>
      </c>
      <c r="D221" s="564" t="s">
        <v>770</v>
      </c>
      <c r="E221" s="696">
        <v>4500</v>
      </c>
      <c r="F221" s="566">
        <v>11</v>
      </c>
      <c r="G221" s="566">
        <v>11</v>
      </c>
      <c r="H221" s="566">
        <v>11</v>
      </c>
      <c r="I221" s="567">
        <v>2.5339182573320693</v>
      </c>
      <c r="J221" s="568">
        <v>1.4830906068478693</v>
      </c>
      <c r="K221" s="571">
        <v>0.77333333333333332</v>
      </c>
      <c r="L221" s="571">
        <v>6.4444444444444443E-2</v>
      </c>
      <c r="M221" s="571">
        <v>3.2222222222222222E-2</v>
      </c>
      <c r="N221" s="571">
        <v>0.13</v>
      </c>
      <c r="O221" s="571"/>
      <c r="P221" s="571"/>
      <c r="Q221" s="572"/>
      <c r="R221" s="557"/>
      <c r="S221" s="603">
        <f t="shared" si="38"/>
        <v>0</v>
      </c>
      <c r="T221" s="599">
        <f t="shared" si="39"/>
        <v>1</v>
      </c>
    </row>
    <row r="222" spans="1:20" ht="15">
      <c r="A222" s="1215"/>
      <c r="B222" s="564">
        <v>6</v>
      </c>
      <c r="C222" s="565"/>
      <c r="D222" s="564"/>
      <c r="E222" s="696"/>
      <c r="F222" s="566"/>
      <c r="G222" s="566"/>
      <c r="H222" s="566"/>
      <c r="I222" s="567"/>
      <c r="J222" s="568"/>
      <c r="K222" s="571"/>
      <c r="L222" s="571"/>
      <c r="M222" s="571"/>
      <c r="N222" s="571"/>
      <c r="O222" s="571"/>
      <c r="P222" s="571"/>
      <c r="Q222" s="572"/>
      <c r="R222" s="557"/>
      <c r="S222" s="603">
        <f t="shared" si="38"/>
        <v>0</v>
      </c>
      <c r="T222" s="599">
        <f t="shared" si="39"/>
        <v>0</v>
      </c>
    </row>
    <row r="223" spans="1:20" ht="15">
      <c r="A223" s="1215"/>
      <c r="B223" s="564">
        <v>7</v>
      </c>
      <c r="C223" s="565"/>
      <c r="D223" s="564"/>
      <c r="E223" s="696"/>
      <c r="F223" s="566"/>
      <c r="G223" s="566"/>
      <c r="H223" s="566"/>
      <c r="I223" s="567"/>
      <c r="J223" s="568"/>
      <c r="K223" s="571"/>
      <c r="L223" s="571"/>
      <c r="M223" s="571"/>
      <c r="N223" s="571"/>
      <c r="O223" s="571"/>
      <c r="P223" s="571"/>
      <c r="Q223" s="572"/>
      <c r="R223" s="557"/>
      <c r="S223" s="603">
        <f t="shared" si="38"/>
        <v>0</v>
      </c>
      <c r="T223" s="599">
        <f t="shared" si="39"/>
        <v>0</v>
      </c>
    </row>
    <row r="224" spans="1:20" ht="15">
      <c r="A224" s="1215"/>
      <c r="B224" s="564">
        <v>8</v>
      </c>
      <c r="C224" s="565"/>
      <c r="D224" s="564"/>
      <c r="E224" s="696"/>
      <c r="F224" s="566"/>
      <c r="G224" s="566"/>
      <c r="H224" s="566"/>
      <c r="I224" s="567"/>
      <c r="J224" s="568"/>
      <c r="K224" s="571"/>
      <c r="L224" s="571"/>
      <c r="M224" s="571"/>
      <c r="N224" s="571"/>
      <c r="O224" s="571"/>
      <c r="P224" s="571"/>
      <c r="Q224" s="572"/>
      <c r="R224" s="557"/>
      <c r="S224" s="603">
        <f t="shared" si="38"/>
        <v>0</v>
      </c>
      <c r="T224" s="599">
        <f t="shared" si="39"/>
        <v>0</v>
      </c>
    </row>
    <row r="225" spans="1:20" ht="15">
      <c r="A225" s="1215"/>
      <c r="B225" s="564">
        <v>9</v>
      </c>
      <c r="C225" s="565"/>
      <c r="D225" s="564"/>
      <c r="E225" s="696"/>
      <c r="F225" s="566"/>
      <c r="G225" s="566"/>
      <c r="H225" s="566"/>
      <c r="I225" s="567"/>
      <c r="J225" s="568"/>
      <c r="K225" s="571"/>
      <c r="L225" s="571"/>
      <c r="M225" s="571"/>
      <c r="N225" s="571"/>
      <c r="O225" s="571"/>
      <c r="P225" s="571"/>
      <c r="Q225" s="572"/>
      <c r="R225" s="557"/>
      <c r="S225" s="603">
        <f t="shared" si="38"/>
        <v>0</v>
      </c>
      <c r="T225" s="599">
        <f t="shared" si="39"/>
        <v>0</v>
      </c>
    </row>
    <row r="226" spans="1:20" ht="15">
      <c r="A226" s="1215"/>
      <c r="B226" s="564">
        <v>10</v>
      </c>
      <c r="C226" s="565"/>
      <c r="D226" s="564"/>
      <c r="E226" s="696"/>
      <c r="F226" s="566"/>
      <c r="G226" s="566"/>
      <c r="H226" s="566"/>
      <c r="I226" s="567"/>
      <c r="J226" s="568"/>
      <c r="K226" s="571"/>
      <c r="L226" s="571"/>
      <c r="M226" s="571"/>
      <c r="N226" s="571"/>
      <c r="O226" s="571"/>
      <c r="P226" s="571"/>
      <c r="Q226" s="572"/>
      <c r="R226" s="557"/>
      <c r="S226" s="603">
        <f t="shared" si="38"/>
        <v>0</v>
      </c>
      <c r="T226" s="599">
        <f t="shared" si="39"/>
        <v>0</v>
      </c>
    </row>
    <row r="227" spans="1:20" ht="15">
      <c r="A227" s="1215"/>
      <c r="B227" s="564">
        <v>11</v>
      </c>
      <c r="C227" s="565"/>
      <c r="D227" s="564"/>
      <c r="E227" s="696"/>
      <c r="F227" s="566"/>
      <c r="G227" s="566"/>
      <c r="H227" s="566"/>
      <c r="I227" s="567"/>
      <c r="J227" s="568"/>
      <c r="K227" s="571"/>
      <c r="L227" s="571"/>
      <c r="M227" s="571"/>
      <c r="N227" s="571"/>
      <c r="O227" s="571"/>
      <c r="P227" s="571"/>
      <c r="Q227" s="572"/>
      <c r="R227" s="557"/>
      <c r="S227" s="603">
        <f t="shared" si="38"/>
        <v>0</v>
      </c>
      <c r="T227" s="599">
        <f t="shared" si="39"/>
        <v>0</v>
      </c>
    </row>
    <row r="228" spans="1:20" ht="15">
      <c r="A228" s="1215"/>
      <c r="B228" s="564">
        <v>12</v>
      </c>
      <c r="C228" s="565"/>
      <c r="D228" s="564"/>
      <c r="E228" s="696"/>
      <c r="F228" s="566"/>
      <c r="G228" s="566"/>
      <c r="H228" s="566"/>
      <c r="I228" s="567"/>
      <c r="J228" s="568"/>
      <c r="K228" s="571"/>
      <c r="L228" s="571"/>
      <c r="M228" s="571"/>
      <c r="N228" s="571"/>
      <c r="O228" s="571"/>
      <c r="P228" s="571"/>
      <c r="Q228" s="572"/>
      <c r="R228" s="557"/>
      <c r="S228" s="603">
        <f t="shared" si="38"/>
        <v>0</v>
      </c>
      <c r="T228" s="599">
        <f t="shared" si="39"/>
        <v>0</v>
      </c>
    </row>
    <row r="229" spans="1:20" ht="15">
      <c r="A229" s="1215"/>
      <c r="B229" s="564">
        <v>13</v>
      </c>
      <c r="C229" s="565"/>
      <c r="D229" s="564"/>
      <c r="E229" s="696"/>
      <c r="F229" s="566"/>
      <c r="G229" s="566"/>
      <c r="H229" s="566"/>
      <c r="I229" s="567"/>
      <c r="J229" s="568"/>
      <c r="K229" s="571"/>
      <c r="L229" s="571"/>
      <c r="M229" s="571"/>
      <c r="N229" s="571"/>
      <c r="O229" s="571"/>
      <c r="P229" s="571"/>
      <c r="Q229" s="572"/>
      <c r="R229" s="557"/>
      <c r="S229" s="603">
        <f t="shared" si="38"/>
        <v>0</v>
      </c>
      <c r="T229" s="599">
        <f t="shared" si="39"/>
        <v>0</v>
      </c>
    </row>
    <row r="230" spans="1:20" ht="15">
      <c r="A230" s="1215"/>
      <c r="B230" s="564">
        <v>14</v>
      </c>
      <c r="C230" s="565"/>
      <c r="D230" s="564"/>
      <c r="E230" s="696"/>
      <c r="F230" s="566"/>
      <c r="G230" s="566"/>
      <c r="H230" s="566"/>
      <c r="I230" s="567"/>
      <c r="J230" s="568"/>
      <c r="K230" s="571"/>
      <c r="L230" s="571"/>
      <c r="M230" s="571"/>
      <c r="N230" s="571"/>
      <c r="O230" s="571"/>
      <c r="P230" s="571"/>
      <c r="Q230" s="572"/>
      <c r="R230" s="557"/>
      <c r="S230" s="603">
        <f t="shared" si="38"/>
        <v>0</v>
      </c>
      <c r="T230" s="599">
        <f t="shared" si="39"/>
        <v>0</v>
      </c>
    </row>
    <row r="231" spans="1:20" ht="15">
      <c r="A231" s="1215"/>
      <c r="B231" s="564">
        <v>15</v>
      </c>
      <c r="C231" s="565"/>
      <c r="D231" s="564"/>
      <c r="E231" s="696"/>
      <c r="F231" s="566"/>
      <c r="G231" s="566"/>
      <c r="H231" s="566"/>
      <c r="I231" s="567"/>
      <c r="J231" s="568"/>
      <c r="K231" s="571"/>
      <c r="L231" s="571"/>
      <c r="M231" s="571"/>
      <c r="N231" s="571"/>
      <c r="O231" s="571"/>
      <c r="P231" s="571"/>
      <c r="Q231" s="572"/>
      <c r="R231" s="557"/>
      <c r="S231" s="603">
        <f t="shared" si="38"/>
        <v>0</v>
      </c>
      <c r="T231" s="599">
        <f t="shared" si="39"/>
        <v>0</v>
      </c>
    </row>
    <row r="232" spans="1:20" ht="15">
      <c r="A232" s="1215"/>
      <c r="B232" s="564">
        <v>16</v>
      </c>
      <c r="C232" s="565"/>
      <c r="D232" s="564"/>
      <c r="E232" s="696"/>
      <c r="F232" s="566"/>
      <c r="G232" s="566"/>
      <c r="H232" s="566"/>
      <c r="I232" s="567"/>
      <c r="J232" s="568"/>
      <c r="K232" s="571"/>
      <c r="L232" s="571"/>
      <c r="M232" s="571"/>
      <c r="N232" s="571"/>
      <c r="O232" s="571"/>
      <c r="P232" s="571"/>
      <c r="Q232" s="572"/>
      <c r="R232" s="557"/>
      <c r="S232" s="603">
        <f t="shared" si="38"/>
        <v>0</v>
      </c>
      <c r="T232" s="599">
        <f t="shared" si="39"/>
        <v>0</v>
      </c>
    </row>
    <row r="233" spans="1:20" ht="15">
      <c r="A233" s="1215"/>
      <c r="B233" s="564">
        <v>17</v>
      </c>
      <c r="C233" s="565"/>
      <c r="D233" s="564"/>
      <c r="E233" s="696"/>
      <c r="F233" s="566"/>
      <c r="G233" s="566"/>
      <c r="H233" s="566"/>
      <c r="I233" s="567"/>
      <c r="J233" s="567"/>
      <c r="K233" s="564"/>
      <c r="L233" s="564"/>
      <c r="M233" s="564"/>
      <c r="N233" s="564"/>
      <c r="O233" s="564"/>
      <c r="P233" s="564"/>
      <c r="Q233" s="573"/>
      <c r="R233" s="557"/>
      <c r="S233" s="603">
        <f t="shared" si="38"/>
        <v>0</v>
      </c>
      <c r="T233" s="599">
        <f t="shared" si="39"/>
        <v>0</v>
      </c>
    </row>
    <row r="234" spans="1:20" ht="15">
      <c r="A234" s="1215"/>
      <c r="B234" s="564">
        <v>18</v>
      </c>
      <c r="C234" s="565"/>
      <c r="D234" s="564"/>
      <c r="E234" s="696"/>
      <c r="F234" s="566"/>
      <c r="G234" s="566"/>
      <c r="H234" s="566"/>
      <c r="I234" s="567"/>
      <c r="J234" s="567"/>
      <c r="K234" s="564"/>
      <c r="L234" s="564"/>
      <c r="M234" s="564"/>
      <c r="N234" s="564"/>
      <c r="O234" s="564"/>
      <c r="P234" s="564"/>
      <c r="Q234" s="573"/>
      <c r="R234" s="557"/>
      <c r="S234" s="603">
        <f t="shared" si="38"/>
        <v>0</v>
      </c>
      <c r="T234" s="599">
        <f t="shared" si="39"/>
        <v>0</v>
      </c>
    </row>
    <row r="235" spans="1:20" ht="15">
      <c r="A235" s="1215"/>
      <c r="B235" s="564">
        <v>19</v>
      </c>
      <c r="C235" s="565"/>
      <c r="D235" s="564"/>
      <c r="E235" s="696"/>
      <c r="F235" s="566"/>
      <c r="G235" s="566"/>
      <c r="H235" s="566"/>
      <c r="I235" s="567"/>
      <c r="J235" s="567"/>
      <c r="K235" s="564"/>
      <c r="L235" s="564"/>
      <c r="M235" s="564"/>
      <c r="N235" s="564"/>
      <c r="O235" s="564"/>
      <c r="P235" s="564"/>
      <c r="Q235" s="573"/>
      <c r="R235" s="557"/>
      <c r="S235" s="603">
        <f t="shared" si="38"/>
        <v>0</v>
      </c>
      <c r="T235" s="599">
        <f t="shared" si="39"/>
        <v>0</v>
      </c>
    </row>
    <row r="236" spans="1:20" ht="15">
      <c r="A236" s="1215"/>
      <c r="B236" s="564">
        <v>20</v>
      </c>
      <c r="C236" s="565"/>
      <c r="D236" s="564"/>
      <c r="E236" s="696"/>
      <c r="F236" s="566"/>
      <c r="G236" s="566"/>
      <c r="H236" s="566"/>
      <c r="I236" s="567"/>
      <c r="J236" s="567"/>
      <c r="K236" s="564"/>
      <c r="L236" s="564"/>
      <c r="M236" s="564"/>
      <c r="N236" s="564"/>
      <c r="O236" s="564"/>
      <c r="P236" s="564"/>
      <c r="Q236" s="573"/>
      <c r="R236" s="557"/>
      <c r="S236" s="603">
        <f t="shared" si="38"/>
        <v>0</v>
      </c>
      <c r="T236" s="599">
        <f t="shared" si="39"/>
        <v>0</v>
      </c>
    </row>
    <row r="237" spans="1:20" ht="15">
      <c r="A237" s="1215"/>
      <c r="B237" s="564">
        <v>21</v>
      </c>
      <c r="C237" s="565"/>
      <c r="D237" s="564"/>
      <c r="E237" s="696"/>
      <c r="F237" s="566"/>
      <c r="G237" s="566"/>
      <c r="H237" s="566"/>
      <c r="I237" s="567"/>
      <c r="J237" s="567"/>
      <c r="K237" s="564"/>
      <c r="L237" s="564"/>
      <c r="M237" s="564"/>
      <c r="N237" s="564"/>
      <c r="O237" s="564"/>
      <c r="P237" s="564"/>
      <c r="Q237" s="573"/>
      <c r="R237" s="557"/>
      <c r="S237" s="603">
        <f t="shared" si="38"/>
        <v>0</v>
      </c>
      <c r="T237" s="599">
        <f t="shared" si="39"/>
        <v>0</v>
      </c>
    </row>
    <row r="238" spans="1:20" ht="15">
      <c r="A238" s="1215"/>
      <c r="B238" s="564">
        <v>22</v>
      </c>
      <c r="C238" s="565"/>
      <c r="D238" s="564"/>
      <c r="E238" s="696"/>
      <c r="F238" s="566"/>
      <c r="G238" s="566"/>
      <c r="H238" s="566"/>
      <c r="I238" s="567"/>
      <c r="J238" s="567"/>
      <c r="K238" s="564"/>
      <c r="L238" s="564"/>
      <c r="M238" s="564"/>
      <c r="N238" s="564"/>
      <c r="O238" s="564"/>
      <c r="P238" s="564"/>
      <c r="Q238" s="573"/>
      <c r="R238" s="557"/>
      <c r="S238" s="603">
        <f t="shared" si="38"/>
        <v>0</v>
      </c>
      <c r="T238" s="599">
        <f t="shared" si="39"/>
        <v>0</v>
      </c>
    </row>
    <row r="239" spans="1:20" ht="15">
      <c r="A239" s="1215"/>
      <c r="B239" s="564">
        <v>23</v>
      </c>
      <c r="C239" s="565"/>
      <c r="D239" s="564"/>
      <c r="E239" s="696"/>
      <c r="F239" s="566"/>
      <c r="G239" s="566"/>
      <c r="H239" s="566"/>
      <c r="I239" s="567"/>
      <c r="J239" s="567"/>
      <c r="K239" s="564"/>
      <c r="L239" s="564"/>
      <c r="M239" s="564"/>
      <c r="N239" s="564"/>
      <c r="O239" s="564"/>
      <c r="P239" s="564"/>
      <c r="Q239" s="573"/>
      <c r="R239" s="557"/>
      <c r="S239" s="603">
        <f t="shared" si="38"/>
        <v>0</v>
      </c>
      <c r="T239" s="599">
        <f t="shared" si="39"/>
        <v>0</v>
      </c>
    </row>
    <row r="240" spans="1:20" ht="15">
      <c r="A240" s="1215"/>
      <c r="B240" s="564">
        <v>24</v>
      </c>
      <c r="C240" s="565"/>
      <c r="D240" s="564"/>
      <c r="E240" s="696"/>
      <c r="F240" s="566"/>
      <c r="G240" s="566"/>
      <c r="H240" s="566"/>
      <c r="I240" s="567"/>
      <c r="J240" s="567"/>
      <c r="K240" s="564"/>
      <c r="L240" s="564"/>
      <c r="M240" s="564"/>
      <c r="N240" s="564"/>
      <c r="O240" s="564"/>
      <c r="P240" s="564"/>
      <c r="Q240" s="573"/>
      <c r="R240" s="557"/>
      <c r="S240" s="603">
        <f t="shared" si="38"/>
        <v>0</v>
      </c>
      <c r="T240" s="599">
        <f t="shared" si="39"/>
        <v>0</v>
      </c>
    </row>
    <row r="241" spans="1:20" ht="15">
      <c r="A241" s="1215"/>
      <c r="B241" s="564">
        <v>25</v>
      </c>
      <c r="C241" s="565"/>
      <c r="D241" s="564"/>
      <c r="E241" s="696"/>
      <c r="F241" s="566"/>
      <c r="G241" s="566"/>
      <c r="H241" s="566"/>
      <c r="I241" s="567"/>
      <c r="J241" s="567"/>
      <c r="K241" s="564"/>
      <c r="L241" s="564"/>
      <c r="M241" s="564"/>
      <c r="N241" s="564"/>
      <c r="O241" s="564"/>
      <c r="P241" s="564"/>
      <c r="Q241" s="573"/>
      <c r="R241" s="557"/>
      <c r="S241" s="603">
        <f t="shared" si="38"/>
        <v>0</v>
      </c>
      <c r="T241" s="599">
        <f t="shared" si="39"/>
        <v>0</v>
      </c>
    </row>
    <row r="242" spans="1:20" ht="15">
      <c r="A242" s="1215"/>
      <c r="B242" s="564">
        <v>26</v>
      </c>
      <c r="C242" s="565"/>
      <c r="D242" s="564"/>
      <c r="E242" s="697"/>
      <c r="F242" s="695"/>
      <c r="G242" s="695"/>
      <c r="H242" s="695"/>
      <c r="I242" s="693"/>
      <c r="J242" s="693"/>
      <c r="K242" s="574"/>
      <c r="L242" s="574"/>
      <c r="M242" s="574"/>
      <c r="N242" s="574"/>
      <c r="O242" s="574"/>
      <c r="P242" s="574"/>
      <c r="Q242" s="575"/>
      <c r="R242" s="557"/>
      <c r="S242" s="603">
        <f t="shared" si="38"/>
        <v>0</v>
      </c>
      <c r="T242" s="599">
        <f t="shared" si="39"/>
        <v>0</v>
      </c>
    </row>
    <row r="243" spans="1:20" ht="15">
      <c r="A243" s="1215"/>
      <c r="B243" s="564">
        <v>27</v>
      </c>
      <c r="C243" s="565"/>
      <c r="D243" s="564"/>
      <c r="E243" s="697"/>
      <c r="F243" s="695"/>
      <c r="G243" s="695"/>
      <c r="H243" s="695"/>
      <c r="I243" s="693"/>
      <c r="J243" s="693"/>
      <c r="K243" s="574"/>
      <c r="L243" s="574"/>
      <c r="M243" s="574"/>
      <c r="N243" s="574"/>
      <c r="O243" s="574"/>
      <c r="P243" s="574"/>
      <c r="Q243" s="575"/>
      <c r="R243" s="557"/>
      <c r="S243" s="603">
        <f t="shared" si="38"/>
        <v>0</v>
      </c>
      <c r="T243" s="599">
        <f t="shared" si="39"/>
        <v>0</v>
      </c>
    </row>
    <row r="244" spans="1:20" ht="15">
      <c r="A244" s="1215"/>
      <c r="B244" s="564">
        <v>28</v>
      </c>
      <c r="C244" s="565"/>
      <c r="D244" s="564"/>
      <c r="E244" s="697"/>
      <c r="F244" s="695"/>
      <c r="G244" s="695"/>
      <c r="H244" s="695"/>
      <c r="I244" s="693"/>
      <c r="J244" s="693"/>
      <c r="K244" s="574"/>
      <c r="L244" s="574"/>
      <c r="M244" s="574"/>
      <c r="N244" s="574"/>
      <c r="O244" s="574"/>
      <c r="P244" s="574"/>
      <c r="Q244" s="575"/>
      <c r="R244" s="557"/>
      <c r="S244" s="603">
        <f t="shared" si="38"/>
        <v>0</v>
      </c>
      <c r="T244" s="599">
        <f t="shared" si="39"/>
        <v>0</v>
      </c>
    </row>
    <row r="245" spans="1:20" ht="15">
      <c r="A245" s="1215"/>
      <c r="B245" s="564">
        <v>29</v>
      </c>
      <c r="C245" s="565"/>
      <c r="D245" s="564"/>
      <c r="E245" s="697"/>
      <c r="F245" s="695"/>
      <c r="G245" s="695"/>
      <c r="H245" s="695"/>
      <c r="I245" s="693"/>
      <c r="J245" s="693"/>
      <c r="K245" s="574"/>
      <c r="L245" s="574"/>
      <c r="M245" s="574"/>
      <c r="N245" s="574"/>
      <c r="O245" s="574"/>
      <c r="P245" s="574"/>
      <c r="Q245" s="575"/>
      <c r="R245" s="557"/>
      <c r="S245" s="603">
        <f t="shared" si="38"/>
        <v>0</v>
      </c>
      <c r="T245" s="599">
        <f t="shared" si="39"/>
        <v>0</v>
      </c>
    </row>
    <row r="246" spans="1:20" ht="15">
      <c r="A246" s="1215"/>
      <c r="B246" s="564">
        <v>30</v>
      </c>
      <c r="C246" s="565"/>
      <c r="D246" s="564"/>
      <c r="E246" s="697"/>
      <c r="F246" s="695"/>
      <c r="G246" s="695"/>
      <c r="H246" s="695"/>
      <c r="I246" s="693"/>
      <c r="J246" s="693"/>
      <c r="K246" s="574"/>
      <c r="L246" s="574"/>
      <c r="M246" s="574"/>
      <c r="N246" s="574"/>
      <c r="O246" s="574"/>
      <c r="P246" s="574"/>
      <c r="Q246" s="575"/>
      <c r="R246" s="557"/>
      <c r="S246" s="603">
        <f t="shared" si="38"/>
        <v>0</v>
      </c>
      <c r="T246" s="599">
        <f t="shared" si="39"/>
        <v>0</v>
      </c>
    </row>
    <row r="247" spans="1:20" ht="15">
      <c r="A247" s="1215"/>
      <c r="B247" s="564">
        <v>31</v>
      </c>
      <c r="C247" s="565"/>
      <c r="D247" s="564"/>
      <c r="E247" s="696"/>
      <c r="F247" s="566"/>
      <c r="G247" s="566"/>
      <c r="H247" s="566"/>
      <c r="I247" s="567"/>
      <c r="J247" s="567"/>
      <c r="K247" s="564"/>
      <c r="L247" s="564"/>
      <c r="M247" s="564"/>
      <c r="N247" s="564"/>
      <c r="O247" s="564"/>
      <c r="P247" s="564"/>
      <c r="Q247" s="573"/>
      <c r="R247" s="557"/>
      <c r="S247" s="603">
        <f t="shared" si="38"/>
        <v>0</v>
      </c>
      <c r="T247" s="599">
        <f t="shared" si="39"/>
        <v>0</v>
      </c>
    </row>
    <row r="248" spans="1:20" ht="15">
      <c r="A248" s="1215"/>
      <c r="B248" s="564">
        <v>32</v>
      </c>
      <c r="C248" s="565"/>
      <c r="D248" s="564"/>
      <c r="E248" s="696"/>
      <c r="F248" s="566"/>
      <c r="G248" s="566"/>
      <c r="H248" s="566"/>
      <c r="I248" s="567"/>
      <c r="J248" s="567"/>
      <c r="K248" s="564"/>
      <c r="L248" s="564"/>
      <c r="M248" s="564"/>
      <c r="N248" s="564"/>
      <c r="O248" s="564"/>
      <c r="P248" s="564"/>
      <c r="Q248" s="573"/>
      <c r="R248" s="557"/>
      <c r="S248" s="603">
        <f t="shared" si="38"/>
        <v>0</v>
      </c>
      <c r="T248" s="599">
        <f t="shared" si="39"/>
        <v>0</v>
      </c>
    </row>
    <row r="249" spans="1:20" ht="15">
      <c r="A249" s="1215"/>
      <c r="B249" s="564">
        <v>33</v>
      </c>
      <c r="C249" s="565"/>
      <c r="D249" s="564"/>
      <c r="E249" s="696"/>
      <c r="F249" s="566"/>
      <c r="G249" s="566"/>
      <c r="H249" s="566"/>
      <c r="I249" s="567"/>
      <c r="J249" s="567"/>
      <c r="K249" s="564"/>
      <c r="L249" s="564"/>
      <c r="M249" s="564"/>
      <c r="N249" s="564"/>
      <c r="O249" s="564"/>
      <c r="P249" s="564"/>
      <c r="Q249" s="573"/>
      <c r="R249" s="557"/>
      <c r="S249" s="603">
        <f t="shared" si="38"/>
        <v>0</v>
      </c>
      <c r="T249" s="599">
        <f t="shared" si="39"/>
        <v>0</v>
      </c>
    </row>
    <row r="250" spans="1:20" ht="15">
      <c r="A250" s="1215"/>
      <c r="B250" s="564">
        <v>34</v>
      </c>
      <c r="C250" s="565"/>
      <c r="D250" s="564"/>
      <c r="E250" s="696"/>
      <c r="F250" s="566"/>
      <c r="G250" s="566"/>
      <c r="H250" s="566"/>
      <c r="I250" s="567"/>
      <c r="J250" s="567"/>
      <c r="K250" s="564"/>
      <c r="L250" s="564"/>
      <c r="M250" s="564"/>
      <c r="N250" s="564"/>
      <c r="O250" s="564"/>
      <c r="P250" s="564"/>
      <c r="Q250" s="573"/>
      <c r="R250" s="557"/>
      <c r="S250" s="603">
        <f t="shared" si="38"/>
        <v>0</v>
      </c>
      <c r="T250" s="599">
        <f t="shared" si="39"/>
        <v>0</v>
      </c>
    </row>
    <row r="251" spans="1:20" ht="15">
      <c r="A251" s="1215"/>
      <c r="B251" s="564">
        <v>35</v>
      </c>
      <c r="C251" s="565"/>
      <c r="D251" s="564"/>
      <c r="E251" s="696"/>
      <c r="F251" s="566"/>
      <c r="G251" s="566"/>
      <c r="H251" s="566"/>
      <c r="I251" s="567"/>
      <c r="J251" s="567"/>
      <c r="K251" s="564"/>
      <c r="L251" s="564"/>
      <c r="M251" s="564"/>
      <c r="N251" s="564"/>
      <c r="O251" s="564"/>
      <c r="P251" s="564"/>
      <c r="Q251" s="573"/>
      <c r="R251" s="557"/>
      <c r="S251" s="603">
        <f t="shared" si="38"/>
        <v>0</v>
      </c>
      <c r="T251" s="599">
        <f t="shared" si="39"/>
        <v>0</v>
      </c>
    </row>
    <row r="252" spans="1:20" ht="15">
      <c r="A252" s="1215"/>
      <c r="B252" s="564">
        <v>36</v>
      </c>
      <c r="C252" s="565"/>
      <c r="D252" s="564"/>
      <c r="E252" s="696"/>
      <c r="F252" s="566"/>
      <c r="G252" s="566"/>
      <c r="H252" s="566"/>
      <c r="I252" s="567"/>
      <c r="J252" s="567"/>
      <c r="K252" s="564"/>
      <c r="L252" s="564"/>
      <c r="M252" s="564"/>
      <c r="N252" s="564"/>
      <c r="O252" s="564"/>
      <c r="P252" s="564"/>
      <c r="Q252" s="573"/>
      <c r="R252" s="557"/>
      <c r="S252" s="603">
        <f t="shared" si="38"/>
        <v>0</v>
      </c>
      <c r="T252" s="599">
        <f t="shared" si="39"/>
        <v>0</v>
      </c>
    </row>
    <row r="253" spans="1:20" ht="15">
      <c r="A253" s="1215"/>
      <c r="B253" s="564">
        <v>37</v>
      </c>
      <c r="C253" s="565"/>
      <c r="D253" s="564"/>
      <c r="E253" s="696"/>
      <c r="F253" s="566"/>
      <c r="G253" s="566"/>
      <c r="H253" s="566"/>
      <c r="I253" s="567"/>
      <c r="J253" s="567"/>
      <c r="K253" s="564"/>
      <c r="L253" s="564"/>
      <c r="M253" s="564"/>
      <c r="N253" s="564"/>
      <c r="O253" s="564"/>
      <c r="P253" s="564"/>
      <c r="Q253" s="573"/>
      <c r="R253" s="557"/>
      <c r="S253" s="603">
        <f t="shared" si="38"/>
        <v>0</v>
      </c>
      <c r="T253" s="599">
        <f t="shared" si="39"/>
        <v>0</v>
      </c>
    </row>
    <row r="254" spans="1:20" ht="15">
      <c r="A254" s="1215"/>
      <c r="B254" s="564">
        <v>38</v>
      </c>
      <c r="C254" s="565"/>
      <c r="D254" s="564"/>
      <c r="E254" s="696"/>
      <c r="F254" s="566"/>
      <c r="G254" s="566"/>
      <c r="H254" s="566"/>
      <c r="I254" s="567"/>
      <c r="J254" s="567"/>
      <c r="K254" s="564"/>
      <c r="L254" s="564"/>
      <c r="M254" s="564"/>
      <c r="N254" s="564"/>
      <c r="O254" s="564"/>
      <c r="P254" s="564"/>
      <c r="Q254" s="573"/>
      <c r="R254" s="557"/>
      <c r="S254" s="603">
        <f t="shared" si="38"/>
        <v>0</v>
      </c>
      <c r="T254" s="599">
        <f t="shared" si="39"/>
        <v>0</v>
      </c>
    </row>
    <row r="255" spans="1:20" ht="15">
      <c r="A255" s="1215"/>
      <c r="B255" s="564">
        <v>39</v>
      </c>
      <c r="C255" s="565"/>
      <c r="D255" s="564"/>
      <c r="E255" s="696"/>
      <c r="F255" s="566"/>
      <c r="G255" s="566"/>
      <c r="H255" s="566"/>
      <c r="I255" s="567"/>
      <c r="J255" s="567"/>
      <c r="K255" s="564"/>
      <c r="L255" s="564"/>
      <c r="M255" s="564"/>
      <c r="N255" s="564"/>
      <c r="O255" s="564"/>
      <c r="P255" s="564"/>
      <c r="Q255" s="573"/>
      <c r="R255" s="557"/>
      <c r="S255" s="603">
        <f t="shared" si="38"/>
        <v>0</v>
      </c>
      <c r="T255" s="599">
        <f t="shared" si="39"/>
        <v>0</v>
      </c>
    </row>
    <row r="256" spans="1:20" ht="15.75" thickBot="1">
      <c r="A256" s="1215"/>
      <c r="B256" s="564">
        <v>40</v>
      </c>
      <c r="C256" s="565"/>
      <c r="D256" s="564"/>
      <c r="E256" s="696"/>
      <c r="F256" s="566"/>
      <c r="G256" s="566"/>
      <c r="H256" s="566"/>
      <c r="I256" s="567"/>
      <c r="J256" s="567"/>
      <c r="K256" s="564"/>
      <c r="L256" s="564"/>
      <c r="M256" s="564"/>
      <c r="N256" s="564"/>
      <c r="O256" s="564"/>
      <c r="P256" s="564"/>
      <c r="Q256" s="573"/>
      <c r="R256" s="557"/>
      <c r="S256" s="604">
        <f t="shared" si="38"/>
        <v>0</v>
      </c>
      <c r="T256" s="600">
        <f t="shared" si="39"/>
        <v>0</v>
      </c>
    </row>
    <row r="257" spans="1:20" ht="15.75" thickBot="1">
      <c r="A257" s="1215"/>
      <c r="B257" s="576"/>
      <c r="C257" s="576"/>
      <c r="D257" s="576"/>
      <c r="E257" s="576"/>
      <c r="F257" s="576"/>
      <c r="G257" s="576"/>
      <c r="H257" s="576"/>
      <c r="I257" s="699"/>
      <c r="J257" s="699"/>
      <c r="K257" s="576"/>
      <c r="L257" s="576"/>
      <c r="M257" s="576"/>
      <c r="N257" s="576"/>
      <c r="O257" s="576"/>
      <c r="P257" s="576"/>
      <c r="Q257" s="576"/>
      <c r="R257" s="557"/>
    </row>
    <row r="258" spans="1:20" ht="15">
      <c r="A258" s="1215"/>
      <c r="B258" s="613"/>
      <c r="C258" s="614"/>
      <c r="D258" s="617" t="s">
        <v>968</v>
      </c>
      <c r="E258" s="700">
        <f>SUMPRODUCT(T217:T256,E217:E256)</f>
        <v>4866266.75</v>
      </c>
      <c r="F258" s="578"/>
      <c r="G258" s="578"/>
      <c r="H258" s="578"/>
      <c r="I258" s="579"/>
      <c r="J258" s="580"/>
      <c r="K258" s="580"/>
      <c r="L258" s="580"/>
      <c r="M258" s="580"/>
      <c r="N258" s="580"/>
      <c r="O258" s="580"/>
      <c r="P258" s="580"/>
      <c r="Q258" s="580"/>
      <c r="R258" s="185"/>
      <c r="S258" s="606">
        <f>SUM(S217:S256)</f>
        <v>0</v>
      </c>
      <c r="T258" s="606">
        <f>SUM(T217:T256)</f>
        <v>5</v>
      </c>
    </row>
    <row r="259" spans="1:20" ht="15.75" thickBot="1">
      <c r="A259" s="1215"/>
      <c r="B259" s="615"/>
      <c r="C259" s="616"/>
      <c r="D259" s="618" t="s">
        <v>969</v>
      </c>
      <c r="E259" s="701"/>
      <c r="F259" s="584">
        <f>IF($T258=0,0,(SUMPRODUCT($T217:$T256,F217:F256,$E217:$E256)/$E258))</f>
        <v>4.9940588388419114</v>
      </c>
      <c r="G259" s="584">
        <f t="shared" ref="G259:H259" si="40">IF($T258=0,0,(SUMPRODUCT($T217:$T256,G217:G256,$E217:$E256)/$E258))</f>
        <v>4.9940588388419114</v>
      </c>
      <c r="H259" s="584">
        <f t="shared" si="40"/>
        <v>4.9940588388419114</v>
      </c>
      <c r="I259" s="585">
        <f t="shared" ref="I259:J259" si="41">IF($T258=0,0,(SUMPRODUCT($T217:$T256,I217:I256,$E217:$E256)/$E258))</f>
        <v>2.3525286484783008</v>
      </c>
      <c r="J259" s="585">
        <f t="shared" si="41"/>
        <v>1.3857899305596471</v>
      </c>
      <c r="K259" s="585">
        <f t="shared" ref="K259:Q259" si="42">IF($T258=0,0,(SUMPRODUCT($T217:$T256,K217:K256,$E217:$E256)/$E258))</f>
        <v>0.2817661568005157</v>
      </c>
      <c r="L259" s="585">
        <f t="shared" si="42"/>
        <v>0.51799236440523755</v>
      </c>
      <c r="M259" s="585">
        <f t="shared" si="42"/>
        <v>7.0241478794246678E-2</v>
      </c>
      <c r="N259" s="585">
        <f t="shared" si="42"/>
        <v>0.13</v>
      </c>
      <c r="O259" s="585">
        <f t="shared" si="42"/>
        <v>0</v>
      </c>
      <c r="P259" s="585">
        <f t="shared" si="42"/>
        <v>0</v>
      </c>
      <c r="Q259" s="585">
        <f t="shared" si="42"/>
        <v>0</v>
      </c>
      <c r="R259" s="185"/>
    </row>
    <row r="260" spans="1:20" ht="15">
      <c r="A260" s="1215"/>
      <c r="B260" s="613"/>
      <c r="C260" s="614"/>
      <c r="D260" s="617" t="s">
        <v>970</v>
      </c>
      <c r="E260" s="700">
        <f>SUMPRODUCT(S217:S256,E217:E256)</f>
        <v>0</v>
      </c>
      <c r="F260" s="578"/>
      <c r="G260" s="578"/>
      <c r="H260" s="578"/>
      <c r="I260" s="579"/>
      <c r="J260" s="589"/>
      <c r="K260" s="589"/>
      <c r="L260" s="589"/>
      <c r="M260" s="589"/>
      <c r="N260" s="589"/>
      <c r="O260" s="589"/>
      <c r="P260" s="589"/>
      <c r="Q260" s="589"/>
      <c r="R260" s="185"/>
    </row>
    <row r="261" spans="1:20" ht="15.75" thickBot="1">
      <c r="A261" s="1215"/>
      <c r="B261" s="615"/>
      <c r="C261" s="616"/>
      <c r="D261" s="618" t="s">
        <v>971</v>
      </c>
      <c r="E261" s="701"/>
      <c r="F261" s="584">
        <f>IF($S258=0,0,(SUMPRODUCT($S217:$S256,F217:F256,$E217:$E256)/$E260))</f>
        <v>0</v>
      </c>
      <c r="G261" s="584">
        <f t="shared" ref="G261:H261" si="43">IF($S258=0,0,(SUMPRODUCT($S217:$S256,G217:G256,$E217:$E256)/$E260))</f>
        <v>0</v>
      </c>
      <c r="H261" s="584">
        <f t="shared" si="43"/>
        <v>0</v>
      </c>
      <c r="I261" s="585">
        <f t="shared" ref="I261:J261" si="44">IF($S258=0,0,(SUMPRODUCT($S217:$S256,I217:I256,$E217:$E256)/$E260))</f>
        <v>0</v>
      </c>
      <c r="J261" s="585">
        <f t="shared" si="44"/>
        <v>0</v>
      </c>
      <c r="K261" s="585">
        <f t="shared" ref="K261:Q261" si="45">IF($S258=0,0,(SUMPRODUCT($S217:$S256,K217:K256,$E217:$E256)/$E260))</f>
        <v>0</v>
      </c>
      <c r="L261" s="585">
        <f t="shared" si="45"/>
        <v>0</v>
      </c>
      <c r="M261" s="585">
        <f t="shared" si="45"/>
        <v>0</v>
      </c>
      <c r="N261" s="585">
        <f t="shared" si="45"/>
        <v>0</v>
      </c>
      <c r="O261" s="585">
        <f t="shared" si="45"/>
        <v>0</v>
      </c>
      <c r="P261" s="585">
        <f t="shared" si="45"/>
        <v>0</v>
      </c>
      <c r="Q261" s="585">
        <f t="shared" si="45"/>
        <v>0</v>
      </c>
      <c r="R261" s="185"/>
    </row>
    <row r="262" spans="1:20" ht="15">
      <c r="A262" s="1215"/>
      <c r="B262" s="613"/>
      <c r="C262" s="614"/>
      <c r="D262" s="617" t="s">
        <v>972</v>
      </c>
      <c r="E262" s="700">
        <f>SUM(E217:E256)</f>
        <v>4866266.75</v>
      </c>
      <c r="F262" s="578"/>
      <c r="G262" s="578"/>
      <c r="H262" s="578"/>
      <c r="I262" s="579"/>
      <c r="J262" s="580"/>
      <c r="K262" s="580"/>
      <c r="L262" s="580"/>
      <c r="M262" s="580"/>
      <c r="N262" s="580"/>
      <c r="O262" s="580"/>
      <c r="P262" s="580"/>
      <c r="Q262" s="580"/>
      <c r="R262" s="185"/>
    </row>
    <row r="263" spans="1:20" ht="15.75" thickBot="1">
      <c r="A263" s="1215"/>
      <c r="B263" s="615"/>
      <c r="C263" s="616"/>
      <c r="D263" s="618" t="s">
        <v>973</v>
      </c>
      <c r="E263" s="701"/>
      <c r="F263" s="584">
        <f>SUMPRODUCT($E217:$E256,F217:F256)/$E262</f>
        <v>4.9940588388419114</v>
      </c>
      <c r="G263" s="584">
        <f t="shared" ref="G263:H263" si="46">SUMPRODUCT($E217:$E256,G217:G256)/$E262</f>
        <v>4.9940588388419114</v>
      </c>
      <c r="H263" s="584">
        <f t="shared" si="46"/>
        <v>4.9940588388419114</v>
      </c>
      <c r="I263" s="585">
        <f t="shared" ref="I263:J263" si="47">SUMPRODUCT($E217:$E256,I217:I256)/$E262</f>
        <v>2.3525286484783008</v>
      </c>
      <c r="J263" s="585">
        <f t="shared" si="47"/>
        <v>1.3857899305596471</v>
      </c>
      <c r="K263" s="801">
        <f t="shared" ref="K263:Q263" si="48">SUMPRODUCT($E217:$E256,K217:K256)/$E262</f>
        <v>0.2817661568005157</v>
      </c>
      <c r="L263" s="801">
        <f t="shared" si="48"/>
        <v>0.51799236440523755</v>
      </c>
      <c r="M263" s="801">
        <f t="shared" si="48"/>
        <v>7.0241478794246678E-2</v>
      </c>
      <c r="N263" s="801">
        <f t="shared" si="48"/>
        <v>0.13</v>
      </c>
      <c r="O263" s="585">
        <f t="shared" si="48"/>
        <v>0</v>
      </c>
      <c r="P263" s="585">
        <f t="shared" si="48"/>
        <v>0</v>
      </c>
      <c r="Q263" s="585">
        <f t="shared" si="48"/>
        <v>0</v>
      </c>
      <c r="R263" s="185"/>
    </row>
    <row r="264" spans="1:20" ht="15">
      <c r="A264" s="557"/>
      <c r="B264" s="557"/>
      <c r="C264" s="557"/>
      <c r="D264" s="557"/>
      <c r="E264" s="557"/>
      <c r="F264" s="557"/>
      <c r="G264" s="557"/>
      <c r="H264" s="557"/>
      <c r="I264" s="557"/>
      <c r="J264" s="590"/>
      <c r="K264" s="557"/>
      <c r="L264" s="557"/>
      <c r="M264" s="557"/>
      <c r="N264" s="557"/>
      <c r="O264" s="557"/>
      <c r="P264" s="557"/>
      <c r="Q264" s="557"/>
      <c r="R264" s="557"/>
    </row>
    <row r="265" spans="1:20" ht="15">
      <c r="A265" s="591"/>
      <c r="B265" s="554"/>
      <c r="C265" s="591"/>
      <c r="D265" s="591"/>
      <c r="E265" s="591"/>
      <c r="F265" s="591"/>
      <c r="G265" s="591"/>
      <c r="H265" s="591"/>
      <c r="I265" s="591"/>
      <c r="J265" s="591"/>
      <c r="K265" s="554"/>
      <c r="L265" s="591"/>
      <c r="M265" s="591"/>
      <c r="N265" s="591"/>
      <c r="O265" s="591"/>
      <c r="P265" s="591"/>
      <c r="Q265" s="591"/>
      <c r="R265" s="591"/>
    </row>
    <row r="266" spans="1:20" ht="15">
      <c r="A266" s="557"/>
      <c r="B266" s="799" t="s">
        <v>1173</v>
      </c>
      <c r="C266" s="800" t="s">
        <v>1197</v>
      </c>
      <c r="D266" s="557"/>
      <c r="E266" s="557"/>
      <c r="F266" s="557"/>
      <c r="G266" s="557"/>
      <c r="H266" s="557"/>
      <c r="I266" s="557"/>
      <c r="J266" s="557"/>
      <c r="K266" s="557"/>
      <c r="L266" s="557"/>
      <c r="M266" s="557"/>
      <c r="N266" s="557"/>
      <c r="O266" s="557"/>
      <c r="P266" s="557"/>
      <c r="Q266" s="557"/>
      <c r="R266" s="557"/>
    </row>
    <row r="267" spans="1:20" ht="15" customHeight="1" thickBot="1">
      <c r="A267" s="557"/>
      <c r="B267" s="799" t="s">
        <v>1174</v>
      </c>
      <c r="C267" s="800" t="s">
        <v>1201</v>
      </c>
      <c r="D267" s="557"/>
      <c r="E267" s="557"/>
      <c r="F267" s="608"/>
      <c r="G267" s="609" t="s">
        <v>173</v>
      </c>
      <c r="H267" s="609"/>
      <c r="I267" s="557"/>
      <c r="J267" s="557"/>
      <c r="K267" s="610"/>
      <c r="L267" s="611"/>
      <c r="M267" s="611" t="s">
        <v>954</v>
      </c>
      <c r="N267" s="611"/>
      <c r="O267" s="611"/>
      <c r="P267" s="611"/>
      <c r="Q267" s="612"/>
      <c r="R267" s="557"/>
    </row>
    <row r="268" spans="1:20" ht="60.75" thickBot="1">
      <c r="A268" s="1214" t="s">
        <v>1437</v>
      </c>
      <c r="B268" s="558" t="s">
        <v>955</v>
      </c>
      <c r="C268" s="559" t="s">
        <v>104</v>
      </c>
      <c r="D268" s="558" t="s">
        <v>769</v>
      </c>
      <c r="E268" s="558" t="s">
        <v>255</v>
      </c>
      <c r="F268" s="560" t="s">
        <v>956</v>
      </c>
      <c r="G268" s="560" t="s">
        <v>957</v>
      </c>
      <c r="H268" s="560" t="s">
        <v>958</v>
      </c>
      <c r="I268" s="561" t="s">
        <v>959</v>
      </c>
      <c r="J268" s="562" t="s">
        <v>960</v>
      </c>
      <c r="K268" s="562" t="s">
        <v>961</v>
      </c>
      <c r="L268" s="562" t="s">
        <v>962</v>
      </c>
      <c r="M268" s="562" t="s">
        <v>963</v>
      </c>
      <c r="N268" s="562" t="s">
        <v>964</v>
      </c>
      <c r="O268" s="562" t="s">
        <v>965</v>
      </c>
      <c r="P268" s="562" t="s">
        <v>966</v>
      </c>
      <c r="Q268" s="563" t="s">
        <v>967</v>
      </c>
      <c r="R268" s="557"/>
      <c r="S268" s="602" t="s">
        <v>771</v>
      </c>
      <c r="T268" s="601" t="s">
        <v>770</v>
      </c>
    </row>
    <row r="269" spans="1:20" ht="15">
      <c r="A269" s="1215"/>
      <c r="B269" s="564">
        <v>1</v>
      </c>
      <c r="C269" s="565" t="s">
        <v>1092</v>
      </c>
      <c r="D269" s="564" t="s">
        <v>770</v>
      </c>
      <c r="E269" s="696">
        <v>250000.1</v>
      </c>
      <c r="F269" s="566">
        <v>9.6999999999999993</v>
      </c>
      <c r="G269" s="566">
        <v>9.6999999999999993</v>
      </c>
      <c r="H269" s="566">
        <v>9.6999999999999993</v>
      </c>
      <c r="I269" s="567">
        <v>2.3523607561704596</v>
      </c>
      <c r="J269" s="568">
        <v>1.3856998700804402</v>
      </c>
      <c r="K269" s="569">
        <v>0.435</v>
      </c>
      <c r="L269" s="569">
        <v>0.17400000000000002</v>
      </c>
      <c r="M269" s="569">
        <v>0.26100000000000001</v>
      </c>
      <c r="N269" s="569">
        <v>0.13</v>
      </c>
      <c r="O269" s="569"/>
      <c r="P269" s="569"/>
      <c r="Q269" s="570"/>
      <c r="R269" s="557"/>
      <c r="S269" s="603">
        <f>IF(D269="Commercial",1,0)</f>
        <v>0</v>
      </c>
      <c r="T269" s="599">
        <f>IF(D269="Residential",1,0)</f>
        <v>1</v>
      </c>
    </row>
    <row r="270" spans="1:20" ht="15">
      <c r="A270" s="1215"/>
      <c r="B270" s="564">
        <v>2</v>
      </c>
      <c r="C270" s="565" t="s">
        <v>1079</v>
      </c>
      <c r="D270" s="564" t="s">
        <v>770</v>
      </c>
      <c r="E270" s="696">
        <v>182142.85714285713</v>
      </c>
      <c r="F270" s="566">
        <v>6</v>
      </c>
      <c r="G270" s="566">
        <v>6</v>
      </c>
      <c r="H270" s="566">
        <v>6</v>
      </c>
      <c r="I270" s="567">
        <v>2.1399643403563062</v>
      </c>
      <c r="J270" s="568">
        <v>1.3424833386732682</v>
      </c>
      <c r="K270" s="571">
        <v>9.6666666666666665E-2</v>
      </c>
      <c r="L270" s="571">
        <v>0.57999999999999996</v>
      </c>
      <c r="M270" s="571">
        <v>0.19333333333333333</v>
      </c>
      <c r="N270" s="571">
        <v>0.13</v>
      </c>
      <c r="O270" s="571"/>
      <c r="P270" s="571"/>
      <c r="Q270" s="572"/>
      <c r="R270" s="557"/>
      <c r="S270" s="603">
        <f t="shared" ref="S270:S308" si="49">IF(D270="Commercial",1,0)</f>
        <v>0</v>
      </c>
      <c r="T270" s="599">
        <f t="shared" ref="T270:T308" si="50">IF(D270="Residential",1,0)</f>
        <v>1</v>
      </c>
    </row>
    <row r="271" spans="1:20" ht="15">
      <c r="A271" s="1215"/>
      <c r="B271" s="564">
        <v>3</v>
      </c>
      <c r="C271" s="565" t="s">
        <v>1093</v>
      </c>
      <c r="D271" s="564" t="s">
        <v>770</v>
      </c>
      <c r="E271" s="696">
        <v>150000</v>
      </c>
      <c r="F271" s="566">
        <v>9.6999999999999993</v>
      </c>
      <c r="G271" s="566">
        <v>9.6999999999999993</v>
      </c>
      <c r="H271" s="566">
        <v>9.6999999999999993</v>
      </c>
      <c r="I271" s="567">
        <v>2.3523607561704596</v>
      </c>
      <c r="J271" s="568">
        <v>1.3856998700804402</v>
      </c>
      <c r="K271" s="571">
        <v>0.435</v>
      </c>
      <c r="L271" s="571">
        <v>0.17400000000000002</v>
      </c>
      <c r="M271" s="571">
        <v>0.26100000000000001</v>
      </c>
      <c r="N271" s="571">
        <v>0.13</v>
      </c>
      <c r="O271" s="571"/>
      <c r="P271" s="571"/>
      <c r="Q271" s="572"/>
      <c r="R271" s="557"/>
      <c r="S271" s="603">
        <f t="shared" si="49"/>
        <v>0</v>
      </c>
      <c r="T271" s="599">
        <f t="shared" si="50"/>
        <v>1</v>
      </c>
    </row>
    <row r="272" spans="1:20" ht="15">
      <c r="A272" s="1215"/>
      <c r="B272" s="564">
        <v>4</v>
      </c>
      <c r="C272" s="565" t="s">
        <v>1096</v>
      </c>
      <c r="D272" s="564" t="s">
        <v>770</v>
      </c>
      <c r="E272" s="696">
        <v>41514.25</v>
      </c>
      <c r="F272" s="566">
        <v>9.6999999999999993</v>
      </c>
      <c r="G272" s="566">
        <v>9.6999999999999993</v>
      </c>
      <c r="H272" s="566">
        <v>9.6999999999999993</v>
      </c>
      <c r="I272" s="567">
        <v>2.3523607561704596</v>
      </c>
      <c r="J272" s="568">
        <v>1.3856998700804402</v>
      </c>
      <c r="K272" s="571">
        <v>0.72499999999999998</v>
      </c>
      <c r="L272" s="571">
        <v>0.14499999999999999</v>
      </c>
      <c r="M272" s="571">
        <v>0</v>
      </c>
      <c r="N272" s="571">
        <v>0.13</v>
      </c>
      <c r="O272" s="571"/>
      <c r="P272" s="571"/>
      <c r="Q272" s="572"/>
      <c r="R272" s="557"/>
      <c r="S272" s="603">
        <f t="shared" si="49"/>
        <v>0</v>
      </c>
      <c r="T272" s="599">
        <f t="shared" si="50"/>
        <v>1</v>
      </c>
    </row>
    <row r="273" spans="1:20" ht="15">
      <c r="A273" s="1215"/>
      <c r="B273" s="564">
        <v>5</v>
      </c>
      <c r="C273" s="565"/>
      <c r="D273" s="564"/>
      <c r="E273" s="696"/>
      <c r="F273" s="566"/>
      <c r="G273" s="566"/>
      <c r="H273" s="566"/>
      <c r="I273" s="567"/>
      <c r="J273" s="568"/>
      <c r="K273" s="571"/>
      <c r="L273" s="571"/>
      <c r="M273" s="571"/>
      <c r="N273" s="571"/>
      <c r="O273" s="571"/>
      <c r="P273" s="571"/>
      <c r="Q273" s="572"/>
      <c r="R273" s="557"/>
      <c r="S273" s="603">
        <f t="shared" si="49"/>
        <v>0</v>
      </c>
      <c r="T273" s="599">
        <f t="shared" si="50"/>
        <v>0</v>
      </c>
    </row>
    <row r="274" spans="1:20" ht="15">
      <c r="A274" s="1215"/>
      <c r="B274" s="564">
        <v>6</v>
      </c>
      <c r="C274" s="565"/>
      <c r="D274" s="564"/>
      <c r="E274" s="696"/>
      <c r="F274" s="566"/>
      <c r="G274" s="566"/>
      <c r="H274" s="566"/>
      <c r="I274" s="567"/>
      <c r="J274" s="568"/>
      <c r="K274" s="571"/>
      <c r="L274" s="571"/>
      <c r="M274" s="571"/>
      <c r="N274" s="571"/>
      <c r="O274" s="571"/>
      <c r="P274" s="571"/>
      <c r="Q274" s="572"/>
      <c r="R274" s="557"/>
      <c r="S274" s="603">
        <f t="shared" si="49"/>
        <v>0</v>
      </c>
      <c r="T274" s="599">
        <f t="shared" si="50"/>
        <v>0</v>
      </c>
    </row>
    <row r="275" spans="1:20" ht="15">
      <c r="A275" s="1215"/>
      <c r="B275" s="564">
        <v>7</v>
      </c>
      <c r="C275" s="565"/>
      <c r="D275" s="564"/>
      <c r="E275" s="696"/>
      <c r="F275" s="566"/>
      <c r="G275" s="566"/>
      <c r="H275" s="566"/>
      <c r="I275" s="567"/>
      <c r="J275" s="568"/>
      <c r="K275" s="571"/>
      <c r="L275" s="571"/>
      <c r="M275" s="571"/>
      <c r="N275" s="571"/>
      <c r="O275" s="571"/>
      <c r="P275" s="571"/>
      <c r="Q275" s="572"/>
      <c r="R275" s="557"/>
      <c r="S275" s="603">
        <f t="shared" si="49"/>
        <v>0</v>
      </c>
      <c r="T275" s="599">
        <f t="shared" si="50"/>
        <v>0</v>
      </c>
    </row>
    <row r="276" spans="1:20" ht="15">
      <c r="A276" s="1215"/>
      <c r="B276" s="564">
        <v>8</v>
      </c>
      <c r="C276" s="565"/>
      <c r="D276" s="564"/>
      <c r="E276" s="696"/>
      <c r="F276" s="566"/>
      <c r="G276" s="566"/>
      <c r="H276" s="566"/>
      <c r="I276" s="567"/>
      <c r="J276" s="568"/>
      <c r="K276" s="571"/>
      <c r="L276" s="571"/>
      <c r="M276" s="571"/>
      <c r="N276" s="571"/>
      <c r="O276" s="571"/>
      <c r="P276" s="571"/>
      <c r="Q276" s="572"/>
      <c r="R276" s="557"/>
      <c r="S276" s="603">
        <f t="shared" si="49"/>
        <v>0</v>
      </c>
      <c r="T276" s="599">
        <f t="shared" si="50"/>
        <v>0</v>
      </c>
    </row>
    <row r="277" spans="1:20" ht="15">
      <c r="A277" s="1215"/>
      <c r="B277" s="564">
        <v>9</v>
      </c>
      <c r="C277" s="565"/>
      <c r="D277" s="564"/>
      <c r="E277" s="696"/>
      <c r="F277" s="566"/>
      <c r="G277" s="566"/>
      <c r="H277" s="566"/>
      <c r="I277" s="567"/>
      <c r="J277" s="568"/>
      <c r="K277" s="571"/>
      <c r="L277" s="571"/>
      <c r="M277" s="571"/>
      <c r="N277" s="571"/>
      <c r="O277" s="571"/>
      <c r="P277" s="571"/>
      <c r="Q277" s="572"/>
      <c r="R277" s="557"/>
      <c r="S277" s="603">
        <f t="shared" si="49"/>
        <v>0</v>
      </c>
      <c r="T277" s="599">
        <f t="shared" si="50"/>
        <v>0</v>
      </c>
    </row>
    <row r="278" spans="1:20" ht="15">
      <c r="A278" s="1215"/>
      <c r="B278" s="564">
        <v>10</v>
      </c>
      <c r="C278" s="565"/>
      <c r="D278" s="564"/>
      <c r="E278" s="696"/>
      <c r="F278" s="566"/>
      <c r="G278" s="566"/>
      <c r="H278" s="566"/>
      <c r="I278" s="567"/>
      <c r="J278" s="568"/>
      <c r="K278" s="571"/>
      <c r="L278" s="571"/>
      <c r="M278" s="571"/>
      <c r="N278" s="571"/>
      <c r="O278" s="571"/>
      <c r="P278" s="571"/>
      <c r="Q278" s="572"/>
      <c r="R278" s="557"/>
      <c r="S278" s="603">
        <f t="shared" si="49"/>
        <v>0</v>
      </c>
      <c r="T278" s="599">
        <f t="shared" si="50"/>
        <v>0</v>
      </c>
    </row>
    <row r="279" spans="1:20" ht="15">
      <c r="A279" s="1215"/>
      <c r="B279" s="564">
        <v>11</v>
      </c>
      <c r="C279" s="565"/>
      <c r="D279" s="564"/>
      <c r="E279" s="696"/>
      <c r="F279" s="566"/>
      <c r="G279" s="566"/>
      <c r="H279" s="566"/>
      <c r="I279" s="567"/>
      <c r="J279" s="568"/>
      <c r="K279" s="571"/>
      <c r="L279" s="571"/>
      <c r="M279" s="571"/>
      <c r="N279" s="571"/>
      <c r="O279" s="571"/>
      <c r="P279" s="571"/>
      <c r="Q279" s="572"/>
      <c r="R279" s="557"/>
      <c r="S279" s="603">
        <f t="shared" si="49"/>
        <v>0</v>
      </c>
      <c r="T279" s="599">
        <f t="shared" si="50"/>
        <v>0</v>
      </c>
    </row>
    <row r="280" spans="1:20" ht="15">
      <c r="A280" s="1215"/>
      <c r="B280" s="564">
        <v>12</v>
      </c>
      <c r="C280" s="565"/>
      <c r="D280" s="564"/>
      <c r="E280" s="696"/>
      <c r="F280" s="566"/>
      <c r="G280" s="566"/>
      <c r="H280" s="566"/>
      <c r="I280" s="567"/>
      <c r="J280" s="568"/>
      <c r="K280" s="571"/>
      <c r="L280" s="571"/>
      <c r="M280" s="571"/>
      <c r="N280" s="571"/>
      <c r="O280" s="571"/>
      <c r="P280" s="571"/>
      <c r="Q280" s="572"/>
      <c r="R280" s="557"/>
      <c r="S280" s="603">
        <f t="shared" si="49"/>
        <v>0</v>
      </c>
      <c r="T280" s="599">
        <f t="shared" si="50"/>
        <v>0</v>
      </c>
    </row>
    <row r="281" spans="1:20" ht="15">
      <c r="A281" s="1215"/>
      <c r="B281" s="564">
        <v>13</v>
      </c>
      <c r="C281" s="565"/>
      <c r="D281" s="564"/>
      <c r="E281" s="696"/>
      <c r="F281" s="566"/>
      <c r="G281" s="566"/>
      <c r="H281" s="566"/>
      <c r="I281" s="567"/>
      <c r="J281" s="568"/>
      <c r="K281" s="571"/>
      <c r="L281" s="571"/>
      <c r="M281" s="571"/>
      <c r="N281" s="571"/>
      <c r="O281" s="571"/>
      <c r="P281" s="571"/>
      <c r="Q281" s="572"/>
      <c r="R281" s="557"/>
      <c r="S281" s="603">
        <f t="shared" si="49"/>
        <v>0</v>
      </c>
      <c r="T281" s="599">
        <f t="shared" si="50"/>
        <v>0</v>
      </c>
    </row>
    <row r="282" spans="1:20" ht="15">
      <c r="A282" s="1215"/>
      <c r="B282" s="564">
        <v>14</v>
      </c>
      <c r="C282" s="565"/>
      <c r="D282" s="564"/>
      <c r="E282" s="696"/>
      <c r="F282" s="566"/>
      <c r="G282" s="566"/>
      <c r="H282" s="566"/>
      <c r="I282" s="567"/>
      <c r="J282" s="568"/>
      <c r="K282" s="571"/>
      <c r="L282" s="571"/>
      <c r="M282" s="571"/>
      <c r="N282" s="571"/>
      <c r="O282" s="571"/>
      <c r="P282" s="571"/>
      <c r="Q282" s="572"/>
      <c r="R282" s="557"/>
      <c r="S282" s="603">
        <f t="shared" si="49"/>
        <v>0</v>
      </c>
      <c r="T282" s="599">
        <f t="shared" si="50"/>
        <v>0</v>
      </c>
    </row>
    <row r="283" spans="1:20" ht="15">
      <c r="A283" s="1215"/>
      <c r="B283" s="564">
        <v>15</v>
      </c>
      <c r="C283" s="565"/>
      <c r="D283" s="564"/>
      <c r="E283" s="696"/>
      <c r="F283" s="566"/>
      <c r="G283" s="566"/>
      <c r="H283" s="566"/>
      <c r="I283" s="567"/>
      <c r="J283" s="568"/>
      <c r="K283" s="571"/>
      <c r="L283" s="571"/>
      <c r="M283" s="571"/>
      <c r="N283" s="571"/>
      <c r="O283" s="571"/>
      <c r="P283" s="571"/>
      <c r="Q283" s="572"/>
      <c r="R283" s="557"/>
      <c r="S283" s="603">
        <f t="shared" si="49"/>
        <v>0</v>
      </c>
      <c r="T283" s="599">
        <f t="shared" si="50"/>
        <v>0</v>
      </c>
    </row>
    <row r="284" spans="1:20" ht="15">
      <c r="A284" s="1215"/>
      <c r="B284" s="564">
        <v>16</v>
      </c>
      <c r="C284" s="565"/>
      <c r="D284" s="564"/>
      <c r="E284" s="696"/>
      <c r="F284" s="566"/>
      <c r="G284" s="566"/>
      <c r="H284" s="566"/>
      <c r="I284" s="567"/>
      <c r="J284" s="568"/>
      <c r="K284" s="571"/>
      <c r="L284" s="571"/>
      <c r="M284" s="571"/>
      <c r="N284" s="571"/>
      <c r="O284" s="571"/>
      <c r="P284" s="571"/>
      <c r="Q284" s="572"/>
      <c r="R284" s="557"/>
      <c r="S284" s="603">
        <f t="shared" si="49"/>
        <v>0</v>
      </c>
      <c r="T284" s="599">
        <f t="shared" si="50"/>
        <v>0</v>
      </c>
    </row>
    <row r="285" spans="1:20" ht="15">
      <c r="A285" s="1215"/>
      <c r="B285" s="564">
        <v>17</v>
      </c>
      <c r="C285" s="565"/>
      <c r="D285" s="564"/>
      <c r="E285" s="696"/>
      <c r="F285" s="566"/>
      <c r="G285" s="566"/>
      <c r="H285" s="566"/>
      <c r="I285" s="567"/>
      <c r="J285" s="567"/>
      <c r="K285" s="564"/>
      <c r="L285" s="564"/>
      <c r="M285" s="564"/>
      <c r="N285" s="564"/>
      <c r="O285" s="564"/>
      <c r="P285" s="564"/>
      <c r="Q285" s="573"/>
      <c r="R285" s="557"/>
      <c r="S285" s="603">
        <f t="shared" si="49"/>
        <v>0</v>
      </c>
      <c r="T285" s="599">
        <f t="shared" si="50"/>
        <v>0</v>
      </c>
    </row>
    <row r="286" spans="1:20" ht="15">
      <c r="A286" s="1215"/>
      <c r="B286" s="564">
        <v>18</v>
      </c>
      <c r="C286" s="565"/>
      <c r="D286" s="564"/>
      <c r="E286" s="696"/>
      <c r="F286" s="566"/>
      <c r="G286" s="566"/>
      <c r="H286" s="566"/>
      <c r="I286" s="567"/>
      <c r="J286" s="567"/>
      <c r="K286" s="564"/>
      <c r="L286" s="564"/>
      <c r="M286" s="564"/>
      <c r="N286" s="564"/>
      <c r="O286" s="564"/>
      <c r="P286" s="564"/>
      <c r="Q286" s="573"/>
      <c r="R286" s="557"/>
      <c r="S286" s="603">
        <f t="shared" si="49"/>
        <v>0</v>
      </c>
      <c r="T286" s="599">
        <f t="shared" si="50"/>
        <v>0</v>
      </c>
    </row>
    <row r="287" spans="1:20" ht="15">
      <c r="A287" s="1215"/>
      <c r="B287" s="564">
        <v>19</v>
      </c>
      <c r="C287" s="565"/>
      <c r="D287" s="564"/>
      <c r="E287" s="696"/>
      <c r="F287" s="566"/>
      <c r="G287" s="566"/>
      <c r="H287" s="566"/>
      <c r="I287" s="567"/>
      <c r="J287" s="567"/>
      <c r="K287" s="564"/>
      <c r="L287" s="564"/>
      <c r="M287" s="564"/>
      <c r="N287" s="564"/>
      <c r="O287" s="564"/>
      <c r="P287" s="564"/>
      <c r="Q287" s="573"/>
      <c r="R287" s="557"/>
      <c r="S287" s="603">
        <f t="shared" si="49"/>
        <v>0</v>
      </c>
      <c r="T287" s="599">
        <f t="shared" si="50"/>
        <v>0</v>
      </c>
    </row>
    <row r="288" spans="1:20" ht="15">
      <c r="A288" s="1215"/>
      <c r="B288" s="564">
        <v>20</v>
      </c>
      <c r="C288" s="565"/>
      <c r="D288" s="564"/>
      <c r="E288" s="696"/>
      <c r="F288" s="566"/>
      <c r="G288" s="566"/>
      <c r="H288" s="566"/>
      <c r="I288" s="567"/>
      <c r="J288" s="567"/>
      <c r="K288" s="564"/>
      <c r="L288" s="564"/>
      <c r="M288" s="564"/>
      <c r="N288" s="564"/>
      <c r="O288" s="564"/>
      <c r="P288" s="564"/>
      <c r="Q288" s="573"/>
      <c r="R288" s="557"/>
      <c r="S288" s="603">
        <f t="shared" si="49"/>
        <v>0</v>
      </c>
      <c r="T288" s="599">
        <f t="shared" si="50"/>
        <v>0</v>
      </c>
    </row>
    <row r="289" spans="1:20" ht="15">
      <c r="A289" s="1215"/>
      <c r="B289" s="564">
        <v>21</v>
      </c>
      <c r="C289" s="565"/>
      <c r="D289" s="564"/>
      <c r="E289" s="696"/>
      <c r="F289" s="566"/>
      <c r="G289" s="566"/>
      <c r="H289" s="566"/>
      <c r="I289" s="567"/>
      <c r="J289" s="567"/>
      <c r="K289" s="564"/>
      <c r="L289" s="564"/>
      <c r="M289" s="564"/>
      <c r="N289" s="564"/>
      <c r="O289" s="564"/>
      <c r="P289" s="564"/>
      <c r="Q289" s="573"/>
      <c r="R289" s="557"/>
      <c r="S289" s="603">
        <f t="shared" si="49"/>
        <v>0</v>
      </c>
      <c r="T289" s="599">
        <f t="shared" si="50"/>
        <v>0</v>
      </c>
    </row>
    <row r="290" spans="1:20" ht="15">
      <c r="A290" s="1215"/>
      <c r="B290" s="564">
        <v>22</v>
      </c>
      <c r="C290" s="565"/>
      <c r="D290" s="564"/>
      <c r="E290" s="696"/>
      <c r="F290" s="566"/>
      <c r="G290" s="566"/>
      <c r="H290" s="566"/>
      <c r="I290" s="567"/>
      <c r="J290" s="567"/>
      <c r="K290" s="564"/>
      <c r="L290" s="564"/>
      <c r="M290" s="564"/>
      <c r="N290" s="564"/>
      <c r="O290" s="564"/>
      <c r="P290" s="564"/>
      <c r="Q290" s="573"/>
      <c r="R290" s="557"/>
      <c r="S290" s="603">
        <f t="shared" si="49"/>
        <v>0</v>
      </c>
      <c r="T290" s="599">
        <f t="shared" si="50"/>
        <v>0</v>
      </c>
    </row>
    <row r="291" spans="1:20" ht="15">
      <c r="A291" s="1215"/>
      <c r="B291" s="564">
        <v>23</v>
      </c>
      <c r="C291" s="565"/>
      <c r="D291" s="564"/>
      <c r="E291" s="696"/>
      <c r="F291" s="566"/>
      <c r="G291" s="566"/>
      <c r="H291" s="566"/>
      <c r="I291" s="567"/>
      <c r="J291" s="567"/>
      <c r="K291" s="564"/>
      <c r="L291" s="564"/>
      <c r="M291" s="564"/>
      <c r="N291" s="564"/>
      <c r="O291" s="564"/>
      <c r="P291" s="564"/>
      <c r="Q291" s="573"/>
      <c r="R291" s="557"/>
      <c r="S291" s="603">
        <f t="shared" si="49"/>
        <v>0</v>
      </c>
      <c r="T291" s="599">
        <f t="shared" si="50"/>
        <v>0</v>
      </c>
    </row>
    <row r="292" spans="1:20" ht="15">
      <c r="A292" s="1215"/>
      <c r="B292" s="564">
        <v>24</v>
      </c>
      <c r="C292" s="565"/>
      <c r="D292" s="564"/>
      <c r="E292" s="696"/>
      <c r="F292" s="566"/>
      <c r="G292" s="566"/>
      <c r="H292" s="566"/>
      <c r="I292" s="567"/>
      <c r="J292" s="567"/>
      <c r="K292" s="564"/>
      <c r="L292" s="564"/>
      <c r="M292" s="564"/>
      <c r="N292" s="564"/>
      <c r="O292" s="564"/>
      <c r="P292" s="564"/>
      <c r="Q292" s="573"/>
      <c r="R292" s="557"/>
      <c r="S292" s="603">
        <f t="shared" si="49"/>
        <v>0</v>
      </c>
      <c r="T292" s="599">
        <f t="shared" si="50"/>
        <v>0</v>
      </c>
    </row>
    <row r="293" spans="1:20" ht="15">
      <c r="A293" s="1215"/>
      <c r="B293" s="564">
        <v>25</v>
      </c>
      <c r="C293" s="565"/>
      <c r="D293" s="564"/>
      <c r="E293" s="696"/>
      <c r="F293" s="566"/>
      <c r="G293" s="566"/>
      <c r="H293" s="566"/>
      <c r="I293" s="567"/>
      <c r="J293" s="567"/>
      <c r="K293" s="564"/>
      <c r="L293" s="564"/>
      <c r="M293" s="564"/>
      <c r="N293" s="564"/>
      <c r="O293" s="564"/>
      <c r="P293" s="564"/>
      <c r="Q293" s="573"/>
      <c r="R293" s="557"/>
      <c r="S293" s="603">
        <f t="shared" si="49"/>
        <v>0</v>
      </c>
      <c r="T293" s="599">
        <f t="shared" si="50"/>
        <v>0</v>
      </c>
    </row>
    <row r="294" spans="1:20" ht="15">
      <c r="A294" s="1215"/>
      <c r="B294" s="564">
        <v>26</v>
      </c>
      <c r="C294" s="565"/>
      <c r="D294" s="564"/>
      <c r="E294" s="697"/>
      <c r="F294" s="695"/>
      <c r="G294" s="695"/>
      <c r="H294" s="695"/>
      <c r="I294" s="693"/>
      <c r="J294" s="693"/>
      <c r="K294" s="574"/>
      <c r="L294" s="574"/>
      <c r="M294" s="574"/>
      <c r="N294" s="574"/>
      <c r="O294" s="574"/>
      <c r="P294" s="574"/>
      <c r="Q294" s="575"/>
      <c r="R294" s="557"/>
      <c r="S294" s="603">
        <f t="shared" si="49"/>
        <v>0</v>
      </c>
      <c r="T294" s="599">
        <f t="shared" si="50"/>
        <v>0</v>
      </c>
    </row>
    <row r="295" spans="1:20" ht="15">
      <c r="A295" s="1215"/>
      <c r="B295" s="564">
        <v>27</v>
      </c>
      <c r="C295" s="565"/>
      <c r="D295" s="564"/>
      <c r="E295" s="697"/>
      <c r="F295" s="695"/>
      <c r="G295" s="695"/>
      <c r="H295" s="695"/>
      <c r="I295" s="693"/>
      <c r="J295" s="693"/>
      <c r="K295" s="574"/>
      <c r="L295" s="574"/>
      <c r="M295" s="574"/>
      <c r="N295" s="574"/>
      <c r="O295" s="574"/>
      <c r="P295" s="574"/>
      <c r="Q295" s="575"/>
      <c r="R295" s="557"/>
      <c r="S295" s="603">
        <f t="shared" si="49"/>
        <v>0</v>
      </c>
      <c r="T295" s="599">
        <f t="shared" si="50"/>
        <v>0</v>
      </c>
    </row>
    <row r="296" spans="1:20" ht="15">
      <c r="A296" s="1215"/>
      <c r="B296" s="564">
        <v>28</v>
      </c>
      <c r="C296" s="565"/>
      <c r="D296" s="564"/>
      <c r="E296" s="697"/>
      <c r="F296" s="695"/>
      <c r="G296" s="695"/>
      <c r="H296" s="695"/>
      <c r="I296" s="693"/>
      <c r="J296" s="693"/>
      <c r="K296" s="574"/>
      <c r="L296" s="574"/>
      <c r="M296" s="574"/>
      <c r="N296" s="574"/>
      <c r="O296" s="574"/>
      <c r="P296" s="574"/>
      <c r="Q296" s="575"/>
      <c r="R296" s="557"/>
      <c r="S296" s="603">
        <f t="shared" si="49"/>
        <v>0</v>
      </c>
      <c r="T296" s="599">
        <f t="shared" si="50"/>
        <v>0</v>
      </c>
    </row>
    <row r="297" spans="1:20" ht="15">
      <c r="A297" s="1215"/>
      <c r="B297" s="564">
        <v>29</v>
      </c>
      <c r="C297" s="565"/>
      <c r="D297" s="564"/>
      <c r="E297" s="697"/>
      <c r="F297" s="695"/>
      <c r="G297" s="695"/>
      <c r="H297" s="695"/>
      <c r="I297" s="693"/>
      <c r="J297" s="693"/>
      <c r="K297" s="574"/>
      <c r="L297" s="574"/>
      <c r="M297" s="574"/>
      <c r="N297" s="574"/>
      <c r="O297" s="574"/>
      <c r="P297" s="574"/>
      <c r="Q297" s="575"/>
      <c r="R297" s="557"/>
      <c r="S297" s="603">
        <f t="shared" si="49"/>
        <v>0</v>
      </c>
      <c r="T297" s="599">
        <f t="shared" si="50"/>
        <v>0</v>
      </c>
    </row>
    <row r="298" spans="1:20" ht="15">
      <c r="A298" s="1215"/>
      <c r="B298" s="564">
        <v>30</v>
      </c>
      <c r="C298" s="565"/>
      <c r="D298" s="564"/>
      <c r="E298" s="697"/>
      <c r="F298" s="695"/>
      <c r="G298" s="695"/>
      <c r="H298" s="695"/>
      <c r="I298" s="693"/>
      <c r="J298" s="693"/>
      <c r="K298" s="574"/>
      <c r="L298" s="574"/>
      <c r="M298" s="574"/>
      <c r="N298" s="574"/>
      <c r="O298" s="574"/>
      <c r="P298" s="574"/>
      <c r="Q298" s="575"/>
      <c r="R298" s="557"/>
      <c r="S298" s="603">
        <f t="shared" si="49"/>
        <v>0</v>
      </c>
      <c r="T298" s="599">
        <f t="shared" si="50"/>
        <v>0</v>
      </c>
    </row>
    <row r="299" spans="1:20" ht="15">
      <c r="A299" s="1215"/>
      <c r="B299" s="564">
        <v>31</v>
      </c>
      <c r="C299" s="565"/>
      <c r="D299" s="564"/>
      <c r="E299" s="696"/>
      <c r="F299" s="566"/>
      <c r="G299" s="566"/>
      <c r="H299" s="566"/>
      <c r="I299" s="567"/>
      <c r="J299" s="567"/>
      <c r="K299" s="564"/>
      <c r="L299" s="564"/>
      <c r="M299" s="564"/>
      <c r="N299" s="564"/>
      <c r="O299" s="564"/>
      <c r="P299" s="564"/>
      <c r="Q299" s="573"/>
      <c r="R299" s="557"/>
      <c r="S299" s="603">
        <f t="shared" si="49"/>
        <v>0</v>
      </c>
      <c r="T299" s="599">
        <f t="shared" si="50"/>
        <v>0</v>
      </c>
    </row>
    <row r="300" spans="1:20" ht="15">
      <c r="A300" s="1215"/>
      <c r="B300" s="564">
        <v>32</v>
      </c>
      <c r="C300" s="565"/>
      <c r="D300" s="564"/>
      <c r="E300" s="696"/>
      <c r="F300" s="566"/>
      <c r="G300" s="566"/>
      <c r="H300" s="566"/>
      <c r="I300" s="567"/>
      <c r="J300" s="567"/>
      <c r="K300" s="564"/>
      <c r="L300" s="564"/>
      <c r="M300" s="564"/>
      <c r="N300" s="564"/>
      <c r="O300" s="564"/>
      <c r="P300" s="564"/>
      <c r="Q300" s="573"/>
      <c r="R300" s="557"/>
      <c r="S300" s="603">
        <f t="shared" si="49"/>
        <v>0</v>
      </c>
      <c r="T300" s="599">
        <f t="shared" si="50"/>
        <v>0</v>
      </c>
    </row>
    <row r="301" spans="1:20" ht="15">
      <c r="A301" s="1215"/>
      <c r="B301" s="564">
        <v>33</v>
      </c>
      <c r="C301" s="565"/>
      <c r="D301" s="564"/>
      <c r="E301" s="696"/>
      <c r="F301" s="566"/>
      <c r="G301" s="566"/>
      <c r="H301" s="566"/>
      <c r="I301" s="567"/>
      <c r="J301" s="567"/>
      <c r="K301" s="564"/>
      <c r="L301" s="564"/>
      <c r="M301" s="564"/>
      <c r="N301" s="564"/>
      <c r="O301" s="564"/>
      <c r="P301" s="564"/>
      <c r="Q301" s="573"/>
      <c r="R301" s="557"/>
      <c r="S301" s="603">
        <f t="shared" si="49"/>
        <v>0</v>
      </c>
      <c r="T301" s="599">
        <f t="shared" si="50"/>
        <v>0</v>
      </c>
    </row>
    <row r="302" spans="1:20" ht="15">
      <c r="A302" s="1215"/>
      <c r="B302" s="564">
        <v>34</v>
      </c>
      <c r="C302" s="565"/>
      <c r="D302" s="564"/>
      <c r="E302" s="696"/>
      <c r="F302" s="566"/>
      <c r="G302" s="566"/>
      <c r="H302" s="566"/>
      <c r="I302" s="567"/>
      <c r="J302" s="567"/>
      <c r="K302" s="564"/>
      <c r="L302" s="564"/>
      <c r="M302" s="564"/>
      <c r="N302" s="564"/>
      <c r="O302" s="564"/>
      <c r="P302" s="564"/>
      <c r="Q302" s="573"/>
      <c r="R302" s="557"/>
      <c r="S302" s="603">
        <f t="shared" si="49"/>
        <v>0</v>
      </c>
      <c r="T302" s="599">
        <f t="shared" si="50"/>
        <v>0</v>
      </c>
    </row>
    <row r="303" spans="1:20" ht="15">
      <c r="A303" s="1215"/>
      <c r="B303" s="564">
        <v>35</v>
      </c>
      <c r="C303" s="565"/>
      <c r="D303" s="564"/>
      <c r="E303" s="696"/>
      <c r="F303" s="566"/>
      <c r="G303" s="566"/>
      <c r="H303" s="566"/>
      <c r="I303" s="567"/>
      <c r="J303" s="567"/>
      <c r="K303" s="564"/>
      <c r="L303" s="564"/>
      <c r="M303" s="564"/>
      <c r="N303" s="564"/>
      <c r="O303" s="564"/>
      <c r="P303" s="564"/>
      <c r="Q303" s="573"/>
      <c r="R303" s="557"/>
      <c r="S303" s="603">
        <f t="shared" si="49"/>
        <v>0</v>
      </c>
      <c r="T303" s="599">
        <f t="shared" si="50"/>
        <v>0</v>
      </c>
    </row>
    <row r="304" spans="1:20" ht="15">
      <c r="A304" s="1215"/>
      <c r="B304" s="564">
        <v>36</v>
      </c>
      <c r="C304" s="565"/>
      <c r="D304" s="564"/>
      <c r="E304" s="696"/>
      <c r="F304" s="566"/>
      <c r="G304" s="566"/>
      <c r="H304" s="566"/>
      <c r="I304" s="567"/>
      <c r="J304" s="567"/>
      <c r="K304" s="564"/>
      <c r="L304" s="564"/>
      <c r="M304" s="564"/>
      <c r="N304" s="564"/>
      <c r="O304" s="564"/>
      <c r="P304" s="564"/>
      <c r="Q304" s="573"/>
      <c r="R304" s="557"/>
      <c r="S304" s="603">
        <f t="shared" si="49"/>
        <v>0</v>
      </c>
      <c r="T304" s="599">
        <f t="shared" si="50"/>
        <v>0</v>
      </c>
    </row>
    <row r="305" spans="1:20" ht="15">
      <c r="A305" s="1215"/>
      <c r="B305" s="564">
        <v>37</v>
      </c>
      <c r="C305" s="565"/>
      <c r="D305" s="564"/>
      <c r="E305" s="696"/>
      <c r="F305" s="566"/>
      <c r="G305" s="566"/>
      <c r="H305" s="566"/>
      <c r="I305" s="567"/>
      <c r="J305" s="567"/>
      <c r="K305" s="564"/>
      <c r="L305" s="564"/>
      <c r="M305" s="564"/>
      <c r="N305" s="564"/>
      <c r="O305" s="564"/>
      <c r="P305" s="564"/>
      <c r="Q305" s="573"/>
      <c r="R305" s="557"/>
      <c r="S305" s="603">
        <f t="shared" si="49"/>
        <v>0</v>
      </c>
      <c r="T305" s="599">
        <f t="shared" si="50"/>
        <v>0</v>
      </c>
    </row>
    <row r="306" spans="1:20" ht="15">
      <c r="A306" s="1215"/>
      <c r="B306" s="564">
        <v>38</v>
      </c>
      <c r="C306" s="565"/>
      <c r="D306" s="564"/>
      <c r="E306" s="696"/>
      <c r="F306" s="566"/>
      <c r="G306" s="566"/>
      <c r="H306" s="566"/>
      <c r="I306" s="567"/>
      <c r="J306" s="567"/>
      <c r="K306" s="564"/>
      <c r="L306" s="564"/>
      <c r="M306" s="564"/>
      <c r="N306" s="564"/>
      <c r="O306" s="564"/>
      <c r="P306" s="564"/>
      <c r="Q306" s="573"/>
      <c r="R306" s="557"/>
      <c r="S306" s="603">
        <f t="shared" si="49"/>
        <v>0</v>
      </c>
      <c r="T306" s="599">
        <f t="shared" si="50"/>
        <v>0</v>
      </c>
    </row>
    <row r="307" spans="1:20" ht="15">
      <c r="A307" s="1215"/>
      <c r="B307" s="564">
        <v>39</v>
      </c>
      <c r="C307" s="565"/>
      <c r="D307" s="564"/>
      <c r="E307" s="696"/>
      <c r="F307" s="566"/>
      <c r="G307" s="566"/>
      <c r="H307" s="566"/>
      <c r="I307" s="567"/>
      <c r="J307" s="567"/>
      <c r="K307" s="564"/>
      <c r="L307" s="564"/>
      <c r="M307" s="564"/>
      <c r="N307" s="564"/>
      <c r="O307" s="564"/>
      <c r="P307" s="564"/>
      <c r="Q307" s="573"/>
      <c r="R307" s="557"/>
      <c r="S307" s="603">
        <f t="shared" si="49"/>
        <v>0</v>
      </c>
      <c r="T307" s="599">
        <f t="shared" si="50"/>
        <v>0</v>
      </c>
    </row>
    <row r="308" spans="1:20" ht="15.75" thickBot="1">
      <c r="A308" s="1215"/>
      <c r="B308" s="564">
        <v>40</v>
      </c>
      <c r="C308" s="565"/>
      <c r="D308" s="564"/>
      <c r="E308" s="696"/>
      <c r="F308" s="566"/>
      <c r="G308" s="566"/>
      <c r="H308" s="566"/>
      <c r="I308" s="567"/>
      <c r="J308" s="567"/>
      <c r="K308" s="564"/>
      <c r="L308" s="564"/>
      <c r="M308" s="564"/>
      <c r="N308" s="564"/>
      <c r="O308" s="564"/>
      <c r="P308" s="564"/>
      <c r="Q308" s="573"/>
      <c r="R308" s="557"/>
      <c r="S308" s="604">
        <f t="shared" si="49"/>
        <v>0</v>
      </c>
      <c r="T308" s="600">
        <f t="shared" si="50"/>
        <v>0</v>
      </c>
    </row>
    <row r="309" spans="1:20" ht="15.75" thickBot="1">
      <c r="A309" s="1215"/>
      <c r="B309" s="576"/>
      <c r="C309" s="576"/>
      <c r="D309" s="576"/>
      <c r="E309" s="576"/>
      <c r="F309" s="576"/>
      <c r="G309" s="576"/>
      <c r="H309" s="576"/>
      <c r="I309" s="699"/>
      <c r="J309" s="699"/>
      <c r="K309" s="576"/>
      <c r="L309" s="576"/>
      <c r="M309" s="576"/>
      <c r="N309" s="576"/>
      <c r="O309" s="576"/>
      <c r="P309" s="576"/>
      <c r="Q309" s="576"/>
      <c r="R309" s="557"/>
    </row>
    <row r="310" spans="1:20" ht="15">
      <c r="A310" s="1215"/>
      <c r="B310" s="613"/>
      <c r="C310" s="614"/>
      <c r="D310" s="617" t="s">
        <v>968</v>
      </c>
      <c r="E310" s="700">
        <f>SUMPRODUCT(T269:T308,E269:E308)</f>
        <v>623657.20714285714</v>
      </c>
      <c r="F310" s="578"/>
      <c r="G310" s="578"/>
      <c r="H310" s="578"/>
      <c r="I310" s="579"/>
      <c r="J310" s="580"/>
      <c r="K310" s="580"/>
      <c r="L310" s="580"/>
      <c r="M310" s="580"/>
      <c r="N310" s="580"/>
      <c r="O310" s="580"/>
      <c r="P310" s="580"/>
      <c r="Q310" s="580"/>
      <c r="R310" s="185"/>
      <c r="S310" s="606">
        <f>SUM(S269:S308)</f>
        <v>0</v>
      </c>
      <c r="T310" s="606">
        <f>SUM(T269:T308)</f>
        <v>4</v>
      </c>
    </row>
    <row r="311" spans="1:20" ht="15.75" thickBot="1">
      <c r="A311" s="1215"/>
      <c r="B311" s="615"/>
      <c r="C311" s="616"/>
      <c r="D311" s="618" t="s">
        <v>969</v>
      </c>
      <c r="E311" s="701"/>
      <c r="F311" s="584">
        <f>IF($T310=0,0,(SUMPRODUCT($T269:$T308,F269:F308,$E269:$E308)/$E310))</f>
        <v>8.6193926347519945</v>
      </c>
      <c r="G311" s="584">
        <f t="shared" ref="G311:H311" si="51">IF($T310=0,0,(SUMPRODUCT($T269:$T308,G269:G308,$E269:$E308)/$E310))</f>
        <v>8.6193926347519945</v>
      </c>
      <c r="H311" s="584">
        <f t="shared" si="51"/>
        <v>8.6193926347519945</v>
      </c>
      <c r="I311" s="585">
        <f t="shared" ref="I311:J311" si="52">IF($T310=0,0,(SUMPRODUCT($T269:$T308,I269:I308,$E269:$E308)/$E310))</f>
        <v>2.2903290990674727</v>
      </c>
      <c r="J311" s="585">
        <f t="shared" si="52"/>
        <v>1.3730782208536667</v>
      </c>
      <c r="K311" s="585">
        <f t="shared" ref="K311:Q311" si="53">IF($T310=0,0,(SUMPRODUCT($T269:$T308,K269:K308,$E269:$E308)/$E310))</f>
        <v>0.35549179111203361</v>
      </c>
      <c r="L311" s="585">
        <f t="shared" si="53"/>
        <v>0.29064434551036389</v>
      </c>
      <c r="M311" s="585">
        <f t="shared" si="53"/>
        <v>0.22386386337760247</v>
      </c>
      <c r="N311" s="585">
        <f t="shared" si="53"/>
        <v>0.12999999999999998</v>
      </c>
      <c r="O311" s="585">
        <f t="shared" si="53"/>
        <v>0</v>
      </c>
      <c r="P311" s="585">
        <f t="shared" si="53"/>
        <v>0</v>
      </c>
      <c r="Q311" s="585">
        <f t="shared" si="53"/>
        <v>0</v>
      </c>
      <c r="R311" s="185"/>
    </row>
    <row r="312" spans="1:20" ht="15">
      <c r="A312" s="1215"/>
      <c r="B312" s="613"/>
      <c r="C312" s="614"/>
      <c r="D312" s="617" t="s">
        <v>970</v>
      </c>
      <c r="E312" s="700">
        <f>SUMPRODUCT(S269:S308,E269:E308)</f>
        <v>0</v>
      </c>
      <c r="F312" s="578"/>
      <c r="G312" s="578"/>
      <c r="H312" s="578"/>
      <c r="I312" s="579"/>
      <c r="J312" s="589"/>
      <c r="K312" s="589"/>
      <c r="L312" s="589"/>
      <c r="M312" s="589"/>
      <c r="N312" s="589"/>
      <c r="O312" s="589"/>
      <c r="P312" s="589"/>
      <c r="Q312" s="589"/>
      <c r="R312" s="185"/>
    </row>
    <row r="313" spans="1:20" ht="15.75" thickBot="1">
      <c r="A313" s="1215"/>
      <c r="B313" s="615"/>
      <c r="C313" s="616"/>
      <c r="D313" s="618" t="s">
        <v>971</v>
      </c>
      <c r="E313" s="701"/>
      <c r="F313" s="584">
        <f>IF($S310=0,0,(SUMPRODUCT($S269:$S308,F269:F308,$E269:$E308)/$E312))</f>
        <v>0</v>
      </c>
      <c r="G313" s="584">
        <f t="shared" ref="G313:H313" si="54">IF($S310=0,0,(SUMPRODUCT($S269:$S308,G269:G308,$E269:$E308)/$E312))</f>
        <v>0</v>
      </c>
      <c r="H313" s="584">
        <f t="shared" si="54"/>
        <v>0</v>
      </c>
      <c r="I313" s="585">
        <f t="shared" ref="I313:J313" si="55">IF($S310=0,0,(SUMPRODUCT($S269:$S308,I269:I308,$E269:$E308)/$E312))</f>
        <v>0</v>
      </c>
      <c r="J313" s="585">
        <f t="shared" si="55"/>
        <v>0</v>
      </c>
      <c r="K313" s="585">
        <f t="shared" ref="K313:Q313" si="56">IF($S310=0,0,(SUMPRODUCT($S269:$S308,K269:K308,$E269:$E308)/$E312))</f>
        <v>0</v>
      </c>
      <c r="L313" s="585">
        <f t="shared" si="56"/>
        <v>0</v>
      </c>
      <c r="M313" s="585">
        <f t="shared" si="56"/>
        <v>0</v>
      </c>
      <c r="N313" s="585">
        <f t="shared" si="56"/>
        <v>0</v>
      </c>
      <c r="O313" s="585">
        <f t="shared" si="56"/>
        <v>0</v>
      </c>
      <c r="P313" s="585">
        <f t="shared" si="56"/>
        <v>0</v>
      </c>
      <c r="Q313" s="585">
        <f t="shared" si="56"/>
        <v>0</v>
      </c>
      <c r="R313" s="185"/>
    </row>
    <row r="314" spans="1:20" ht="15">
      <c r="A314" s="1215"/>
      <c r="B314" s="613"/>
      <c r="C314" s="614"/>
      <c r="D314" s="617" t="s">
        <v>972</v>
      </c>
      <c r="E314" s="700">
        <f>SUM(E269:E308)</f>
        <v>623657.20714285714</v>
      </c>
      <c r="F314" s="578"/>
      <c r="G314" s="578"/>
      <c r="H314" s="578"/>
      <c r="I314" s="579"/>
      <c r="J314" s="580"/>
      <c r="K314" s="580"/>
      <c r="L314" s="580"/>
      <c r="M314" s="580"/>
      <c r="N314" s="580"/>
      <c r="O314" s="580"/>
      <c r="P314" s="580"/>
      <c r="Q314" s="580"/>
      <c r="R314" s="185"/>
    </row>
    <row r="315" spans="1:20" ht="15.75" thickBot="1">
      <c r="A315" s="1215"/>
      <c r="B315" s="615"/>
      <c r="C315" s="616"/>
      <c r="D315" s="618" t="s">
        <v>973</v>
      </c>
      <c r="E315" s="701"/>
      <c r="F315" s="584">
        <f>SUMPRODUCT($E269:$E308,F269:F308)/$E314</f>
        <v>8.6193926347519945</v>
      </c>
      <c r="G315" s="584">
        <f t="shared" ref="G315:H315" si="57">SUMPRODUCT($E269:$E308,G269:G308)/$E314</f>
        <v>8.6193926347519945</v>
      </c>
      <c r="H315" s="584">
        <f t="shared" si="57"/>
        <v>8.6193926347519945</v>
      </c>
      <c r="I315" s="585">
        <f t="shared" ref="I315:J315" si="58">SUMPRODUCT($E269:$E308,I269:I308)/$E314</f>
        <v>2.2903290990674727</v>
      </c>
      <c r="J315" s="585">
        <f t="shared" si="58"/>
        <v>1.3730782208536667</v>
      </c>
      <c r="K315" s="801">
        <f t="shared" ref="K315:Q315" si="59">SUMPRODUCT($E269:$E308,K269:K308)/$E314</f>
        <v>0.35549179111203361</v>
      </c>
      <c r="L315" s="801">
        <f t="shared" si="59"/>
        <v>0.29064434551036389</v>
      </c>
      <c r="M315" s="801">
        <f t="shared" si="59"/>
        <v>0.22386386337760247</v>
      </c>
      <c r="N315" s="801">
        <f t="shared" si="59"/>
        <v>0.12999999999999998</v>
      </c>
      <c r="O315" s="585">
        <f t="shared" si="59"/>
        <v>0</v>
      </c>
      <c r="P315" s="585">
        <f t="shared" si="59"/>
        <v>0</v>
      </c>
      <c r="Q315" s="585">
        <f t="shared" si="59"/>
        <v>0</v>
      </c>
      <c r="R315" s="185"/>
    </row>
    <row r="316" spans="1:20" ht="15">
      <c r="A316" s="557"/>
      <c r="B316" s="557"/>
      <c r="C316" s="557"/>
      <c r="D316" s="557"/>
      <c r="E316" s="557"/>
      <c r="F316" s="557"/>
      <c r="G316" s="557"/>
      <c r="H316" s="557"/>
      <c r="I316" s="557"/>
      <c r="J316" s="590"/>
      <c r="K316" s="557"/>
      <c r="L316" s="557"/>
      <c r="M316" s="557"/>
      <c r="N316" s="557"/>
      <c r="O316" s="557"/>
      <c r="P316" s="557"/>
      <c r="Q316" s="557"/>
      <c r="R316" s="557"/>
    </row>
    <row r="317" spans="1:20" ht="15">
      <c r="A317" s="591"/>
      <c r="B317" s="554"/>
      <c r="C317" s="591"/>
      <c r="D317" s="591"/>
      <c r="E317" s="591"/>
      <c r="F317" s="591"/>
      <c r="G317" s="591"/>
      <c r="H317" s="591"/>
      <c r="I317" s="591"/>
      <c r="J317" s="591"/>
      <c r="K317" s="554"/>
      <c r="L317" s="591"/>
      <c r="M317" s="591"/>
      <c r="N317" s="591"/>
      <c r="O317" s="591"/>
      <c r="P317" s="591"/>
      <c r="Q317" s="591"/>
      <c r="R317" s="591"/>
    </row>
    <row r="318" spans="1:20" ht="15">
      <c r="A318" s="557"/>
      <c r="B318" s="799" t="s">
        <v>1173</v>
      </c>
      <c r="C318" s="800" t="s">
        <v>1195</v>
      </c>
      <c r="D318" s="557"/>
      <c r="E318" s="557"/>
      <c r="F318" s="557"/>
      <c r="G318" s="557"/>
      <c r="H318" s="557"/>
      <c r="I318" s="557"/>
      <c r="J318" s="557"/>
      <c r="K318" s="557"/>
      <c r="L318" s="557"/>
      <c r="M318" s="557"/>
      <c r="N318" s="557"/>
      <c r="O318" s="557"/>
      <c r="P318" s="557"/>
      <c r="Q318" s="557"/>
      <c r="R318" s="557"/>
    </row>
    <row r="319" spans="1:20" ht="15" customHeight="1" thickBot="1">
      <c r="A319" s="557"/>
      <c r="B319" s="799" t="s">
        <v>1174</v>
      </c>
      <c r="C319" s="800" t="s">
        <v>1196</v>
      </c>
      <c r="D319" s="557"/>
      <c r="E319" s="557"/>
      <c r="F319" s="608"/>
      <c r="G319" s="609" t="s">
        <v>173</v>
      </c>
      <c r="H319" s="609"/>
      <c r="I319" s="557"/>
      <c r="J319" s="557"/>
      <c r="K319" s="610"/>
      <c r="L319" s="611"/>
      <c r="M319" s="611" t="s">
        <v>954</v>
      </c>
      <c r="N319" s="611"/>
      <c r="O319" s="611"/>
      <c r="P319" s="611"/>
      <c r="Q319" s="612"/>
      <c r="R319" s="557"/>
    </row>
    <row r="320" spans="1:20" ht="60.75" thickBot="1">
      <c r="A320" s="1214" t="s">
        <v>1438</v>
      </c>
      <c r="B320" s="558" t="s">
        <v>955</v>
      </c>
      <c r="C320" s="559" t="s">
        <v>104</v>
      </c>
      <c r="D320" s="558" t="s">
        <v>769</v>
      </c>
      <c r="E320" s="558" t="s">
        <v>255</v>
      </c>
      <c r="F320" s="560" t="s">
        <v>956</v>
      </c>
      <c r="G320" s="560" t="s">
        <v>957</v>
      </c>
      <c r="H320" s="560" t="s">
        <v>958</v>
      </c>
      <c r="I320" s="561" t="s">
        <v>959</v>
      </c>
      <c r="J320" s="562" t="s">
        <v>960</v>
      </c>
      <c r="K320" s="562" t="s">
        <v>961</v>
      </c>
      <c r="L320" s="562" t="s">
        <v>962</v>
      </c>
      <c r="M320" s="562" t="s">
        <v>963</v>
      </c>
      <c r="N320" s="562" t="s">
        <v>964</v>
      </c>
      <c r="O320" s="562" t="s">
        <v>965</v>
      </c>
      <c r="P320" s="562" t="s">
        <v>966</v>
      </c>
      <c r="Q320" s="563" t="s">
        <v>967</v>
      </c>
      <c r="R320" s="557"/>
      <c r="S320" s="602" t="s">
        <v>771</v>
      </c>
      <c r="T320" s="601" t="s">
        <v>770</v>
      </c>
    </row>
    <row r="321" spans="1:20" ht="15">
      <c r="A321" s="1215"/>
      <c r="B321" s="564">
        <v>1</v>
      </c>
      <c r="C321" s="565" t="s">
        <v>1126</v>
      </c>
      <c r="D321" s="564" t="s">
        <v>771</v>
      </c>
      <c r="E321" s="696">
        <v>188294.28</v>
      </c>
      <c r="F321" s="566">
        <v>3.5</v>
      </c>
      <c r="G321" s="566">
        <v>3.5</v>
      </c>
      <c r="H321" s="566">
        <v>10</v>
      </c>
      <c r="I321" s="567">
        <v>2.3523607561704596</v>
      </c>
      <c r="J321" s="568">
        <v>1.3856998700804402</v>
      </c>
      <c r="K321" s="569">
        <v>0.435</v>
      </c>
      <c r="L321" s="569">
        <v>0.56499999999999995</v>
      </c>
      <c r="M321" s="569">
        <v>0</v>
      </c>
      <c r="N321" s="569">
        <v>0</v>
      </c>
      <c r="O321" s="569"/>
      <c r="P321" s="569"/>
      <c r="Q321" s="570"/>
      <c r="R321" s="557"/>
      <c r="S321" s="603">
        <f>IF(D321="Commercial",1,0)</f>
        <v>1</v>
      </c>
      <c r="T321" s="599">
        <f>IF(D321="Residential",1,0)</f>
        <v>0</v>
      </c>
    </row>
    <row r="322" spans="1:20" ht="15">
      <c r="A322" s="1215"/>
      <c r="B322" s="564">
        <v>2</v>
      </c>
      <c r="C322" s="565" t="s">
        <v>1094</v>
      </c>
      <c r="D322" s="564" t="s">
        <v>770</v>
      </c>
      <c r="E322" s="696">
        <v>22325.719999999998</v>
      </c>
      <c r="F322" s="566">
        <v>3.5</v>
      </c>
      <c r="G322" s="566">
        <v>6.5</v>
      </c>
      <c r="H322" s="566">
        <v>10</v>
      </c>
      <c r="I322" s="567">
        <v>2.3523607561704596</v>
      </c>
      <c r="J322" s="568">
        <v>1.3856998700804402</v>
      </c>
      <c r="K322" s="571">
        <v>0.435</v>
      </c>
      <c r="L322" s="571">
        <v>0.56499999999999995</v>
      </c>
      <c r="M322" s="571">
        <v>0</v>
      </c>
      <c r="N322" s="571">
        <v>0</v>
      </c>
      <c r="O322" s="571"/>
      <c r="P322" s="571"/>
      <c r="Q322" s="572"/>
      <c r="R322" s="557"/>
      <c r="S322" s="603">
        <f t="shared" ref="S322:S360" si="60">IF(D322="Commercial",1,0)</f>
        <v>0</v>
      </c>
      <c r="T322" s="599">
        <f t="shared" ref="T322:T360" si="61">IF(D322="Residential",1,0)</f>
        <v>1</v>
      </c>
    </row>
    <row r="323" spans="1:20" ht="15">
      <c r="A323" s="1215"/>
      <c r="B323" s="564">
        <v>3</v>
      </c>
      <c r="C323" s="565"/>
      <c r="D323" s="564"/>
      <c r="E323" s="696"/>
      <c r="F323" s="566"/>
      <c r="G323" s="566"/>
      <c r="H323" s="566"/>
      <c r="I323" s="567"/>
      <c r="J323" s="568"/>
      <c r="K323" s="571"/>
      <c r="L323" s="571"/>
      <c r="M323" s="571"/>
      <c r="N323" s="571"/>
      <c r="O323" s="571"/>
      <c r="P323" s="571"/>
      <c r="Q323" s="572"/>
      <c r="R323" s="557"/>
      <c r="S323" s="603">
        <f t="shared" si="60"/>
        <v>0</v>
      </c>
      <c r="T323" s="599">
        <f t="shared" si="61"/>
        <v>0</v>
      </c>
    </row>
    <row r="324" spans="1:20" ht="15">
      <c r="A324" s="1215"/>
      <c r="B324" s="564">
        <v>4</v>
      </c>
      <c r="C324" s="565"/>
      <c r="D324" s="564"/>
      <c r="E324" s="696"/>
      <c r="F324" s="566"/>
      <c r="G324" s="566"/>
      <c r="H324" s="566"/>
      <c r="I324" s="567"/>
      <c r="J324" s="568"/>
      <c r="K324" s="571"/>
      <c r="L324" s="571"/>
      <c r="M324" s="571"/>
      <c r="N324" s="571"/>
      <c r="O324" s="571"/>
      <c r="P324" s="571"/>
      <c r="Q324" s="572"/>
      <c r="R324" s="557"/>
      <c r="S324" s="603">
        <f t="shared" si="60"/>
        <v>0</v>
      </c>
      <c r="T324" s="599">
        <f t="shared" si="61"/>
        <v>0</v>
      </c>
    </row>
    <row r="325" spans="1:20" ht="15">
      <c r="A325" s="1215"/>
      <c r="B325" s="564">
        <v>5</v>
      </c>
      <c r="C325" s="565"/>
      <c r="D325" s="564"/>
      <c r="E325" s="696"/>
      <c r="F325" s="566"/>
      <c r="G325" s="566"/>
      <c r="H325" s="566"/>
      <c r="I325" s="567"/>
      <c r="J325" s="568"/>
      <c r="K325" s="571"/>
      <c r="L325" s="571"/>
      <c r="M325" s="571"/>
      <c r="N325" s="571"/>
      <c r="O325" s="571"/>
      <c r="P325" s="571"/>
      <c r="Q325" s="572"/>
      <c r="R325" s="557"/>
      <c r="S325" s="603">
        <f t="shared" si="60"/>
        <v>0</v>
      </c>
      <c r="T325" s="599">
        <f t="shared" si="61"/>
        <v>0</v>
      </c>
    </row>
    <row r="326" spans="1:20" ht="15">
      <c r="A326" s="1215"/>
      <c r="B326" s="564">
        <v>6</v>
      </c>
      <c r="C326" s="565"/>
      <c r="D326" s="564"/>
      <c r="E326" s="696"/>
      <c r="F326" s="566"/>
      <c r="G326" s="566"/>
      <c r="H326" s="566"/>
      <c r="I326" s="567"/>
      <c r="J326" s="568"/>
      <c r="K326" s="571"/>
      <c r="L326" s="571"/>
      <c r="M326" s="571"/>
      <c r="N326" s="571"/>
      <c r="O326" s="571"/>
      <c r="P326" s="571"/>
      <c r="Q326" s="572"/>
      <c r="R326" s="557"/>
      <c r="S326" s="603">
        <f t="shared" si="60"/>
        <v>0</v>
      </c>
      <c r="T326" s="599">
        <f t="shared" si="61"/>
        <v>0</v>
      </c>
    </row>
    <row r="327" spans="1:20" ht="15">
      <c r="A327" s="1215"/>
      <c r="B327" s="564">
        <v>7</v>
      </c>
      <c r="C327" s="565"/>
      <c r="D327" s="564"/>
      <c r="E327" s="696"/>
      <c r="F327" s="566"/>
      <c r="G327" s="566"/>
      <c r="H327" s="566"/>
      <c r="I327" s="567"/>
      <c r="J327" s="568"/>
      <c r="K327" s="571"/>
      <c r="L327" s="571"/>
      <c r="M327" s="571"/>
      <c r="N327" s="571"/>
      <c r="O327" s="571"/>
      <c r="P327" s="571"/>
      <c r="Q327" s="572"/>
      <c r="R327" s="557"/>
      <c r="S327" s="603">
        <f t="shared" si="60"/>
        <v>0</v>
      </c>
      <c r="T327" s="599">
        <f t="shared" si="61"/>
        <v>0</v>
      </c>
    </row>
    <row r="328" spans="1:20" ht="15">
      <c r="A328" s="1215"/>
      <c r="B328" s="564">
        <v>8</v>
      </c>
      <c r="C328" s="565"/>
      <c r="D328" s="564"/>
      <c r="E328" s="696"/>
      <c r="F328" s="566"/>
      <c r="G328" s="566"/>
      <c r="H328" s="566"/>
      <c r="I328" s="567"/>
      <c r="J328" s="568"/>
      <c r="K328" s="571"/>
      <c r="L328" s="571"/>
      <c r="M328" s="571"/>
      <c r="N328" s="571"/>
      <c r="O328" s="571"/>
      <c r="P328" s="571"/>
      <c r="Q328" s="572"/>
      <c r="R328" s="557"/>
      <c r="S328" s="603">
        <f t="shared" si="60"/>
        <v>0</v>
      </c>
      <c r="T328" s="599">
        <f t="shared" si="61"/>
        <v>0</v>
      </c>
    </row>
    <row r="329" spans="1:20" ht="15">
      <c r="A329" s="1215"/>
      <c r="B329" s="564">
        <v>9</v>
      </c>
      <c r="C329" s="565"/>
      <c r="D329" s="564"/>
      <c r="E329" s="696"/>
      <c r="F329" s="566"/>
      <c r="G329" s="566"/>
      <c r="H329" s="566"/>
      <c r="I329" s="567"/>
      <c r="J329" s="568"/>
      <c r="K329" s="571"/>
      <c r="L329" s="571"/>
      <c r="M329" s="571"/>
      <c r="N329" s="571"/>
      <c r="O329" s="571"/>
      <c r="P329" s="571"/>
      <c r="Q329" s="572"/>
      <c r="R329" s="557"/>
      <c r="S329" s="603">
        <f t="shared" si="60"/>
        <v>0</v>
      </c>
      <c r="T329" s="599">
        <f t="shared" si="61"/>
        <v>0</v>
      </c>
    </row>
    <row r="330" spans="1:20" ht="15">
      <c r="A330" s="1215"/>
      <c r="B330" s="564">
        <v>10</v>
      </c>
      <c r="C330" s="565"/>
      <c r="D330" s="564"/>
      <c r="E330" s="696"/>
      <c r="F330" s="566"/>
      <c r="G330" s="566"/>
      <c r="H330" s="566"/>
      <c r="I330" s="567"/>
      <c r="J330" s="568"/>
      <c r="K330" s="571"/>
      <c r="L330" s="571"/>
      <c r="M330" s="571"/>
      <c r="N330" s="571"/>
      <c r="O330" s="571"/>
      <c r="P330" s="571"/>
      <c r="Q330" s="572"/>
      <c r="R330" s="557"/>
      <c r="S330" s="603">
        <f t="shared" si="60"/>
        <v>0</v>
      </c>
      <c r="T330" s="599">
        <f t="shared" si="61"/>
        <v>0</v>
      </c>
    </row>
    <row r="331" spans="1:20" ht="15">
      <c r="A331" s="1215"/>
      <c r="B331" s="564">
        <v>11</v>
      </c>
      <c r="C331" s="565"/>
      <c r="D331" s="564"/>
      <c r="E331" s="696"/>
      <c r="F331" s="566"/>
      <c r="G331" s="566"/>
      <c r="H331" s="566"/>
      <c r="I331" s="567"/>
      <c r="J331" s="568"/>
      <c r="K331" s="571"/>
      <c r="L331" s="571"/>
      <c r="M331" s="571"/>
      <c r="N331" s="571"/>
      <c r="O331" s="571"/>
      <c r="P331" s="571"/>
      <c r="Q331" s="572"/>
      <c r="R331" s="557"/>
      <c r="S331" s="603">
        <f t="shared" si="60"/>
        <v>0</v>
      </c>
      <c r="T331" s="599">
        <f t="shared" si="61"/>
        <v>0</v>
      </c>
    </row>
    <row r="332" spans="1:20" ht="15">
      <c r="A332" s="1215"/>
      <c r="B332" s="564">
        <v>12</v>
      </c>
      <c r="C332" s="565"/>
      <c r="D332" s="564"/>
      <c r="E332" s="696"/>
      <c r="F332" s="566"/>
      <c r="G332" s="566"/>
      <c r="H332" s="566"/>
      <c r="I332" s="567"/>
      <c r="J332" s="568"/>
      <c r="K332" s="571"/>
      <c r="L332" s="571"/>
      <c r="M332" s="571"/>
      <c r="N332" s="571"/>
      <c r="O332" s="571"/>
      <c r="P332" s="571"/>
      <c r="Q332" s="572"/>
      <c r="R332" s="557"/>
      <c r="S332" s="603">
        <f t="shared" si="60"/>
        <v>0</v>
      </c>
      <c r="T332" s="599">
        <f t="shared" si="61"/>
        <v>0</v>
      </c>
    </row>
    <row r="333" spans="1:20" ht="15">
      <c r="A333" s="1215"/>
      <c r="B333" s="564">
        <v>13</v>
      </c>
      <c r="C333" s="565"/>
      <c r="D333" s="564"/>
      <c r="E333" s="696"/>
      <c r="F333" s="566"/>
      <c r="G333" s="566"/>
      <c r="H333" s="566"/>
      <c r="I333" s="567"/>
      <c r="J333" s="568"/>
      <c r="K333" s="571"/>
      <c r="L333" s="571"/>
      <c r="M333" s="571"/>
      <c r="N333" s="571"/>
      <c r="O333" s="571"/>
      <c r="P333" s="571"/>
      <c r="Q333" s="572"/>
      <c r="R333" s="557"/>
      <c r="S333" s="603">
        <f t="shared" si="60"/>
        <v>0</v>
      </c>
      <c r="T333" s="599">
        <f t="shared" si="61"/>
        <v>0</v>
      </c>
    </row>
    <row r="334" spans="1:20" ht="15">
      <c r="A334" s="1215"/>
      <c r="B334" s="564">
        <v>14</v>
      </c>
      <c r="C334" s="565"/>
      <c r="D334" s="564"/>
      <c r="E334" s="696"/>
      <c r="F334" s="566"/>
      <c r="G334" s="566"/>
      <c r="H334" s="566"/>
      <c r="I334" s="567"/>
      <c r="J334" s="568"/>
      <c r="K334" s="571"/>
      <c r="L334" s="571"/>
      <c r="M334" s="571"/>
      <c r="N334" s="571"/>
      <c r="O334" s="571"/>
      <c r="P334" s="571"/>
      <c r="Q334" s="572"/>
      <c r="R334" s="557"/>
      <c r="S334" s="603">
        <f t="shared" si="60"/>
        <v>0</v>
      </c>
      <c r="T334" s="599">
        <f t="shared" si="61"/>
        <v>0</v>
      </c>
    </row>
    <row r="335" spans="1:20" ht="15">
      <c r="A335" s="1215"/>
      <c r="B335" s="564">
        <v>15</v>
      </c>
      <c r="C335" s="565"/>
      <c r="D335" s="564"/>
      <c r="E335" s="696"/>
      <c r="F335" s="566"/>
      <c r="G335" s="566"/>
      <c r="H335" s="566"/>
      <c r="I335" s="567"/>
      <c r="J335" s="568"/>
      <c r="K335" s="571"/>
      <c r="L335" s="571"/>
      <c r="M335" s="571"/>
      <c r="N335" s="571"/>
      <c r="O335" s="571"/>
      <c r="P335" s="571"/>
      <c r="Q335" s="572"/>
      <c r="R335" s="557"/>
      <c r="S335" s="603">
        <f t="shared" si="60"/>
        <v>0</v>
      </c>
      <c r="T335" s="599">
        <f t="shared" si="61"/>
        <v>0</v>
      </c>
    </row>
    <row r="336" spans="1:20" ht="15">
      <c r="A336" s="1215"/>
      <c r="B336" s="564">
        <v>16</v>
      </c>
      <c r="C336" s="565"/>
      <c r="D336" s="564"/>
      <c r="E336" s="696"/>
      <c r="F336" s="566"/>
      <c r="G336" s="566"/>
      <c r="H336" s="566"/>
      <c r="I336" s="567"/>
      <c r="J336" s="568"/>
      <c r="K336" s="571"/>
      <c r="L336" s="571"/>
      <c r="M336" s="571"/>
      <c r="N336" s="571"/>
      <c r="O336" s="571"/>
      <c r="P336" s="571"/>
      <c r="Q336" s="572"/>
      <c r="R336" s="557"/>
      <c r="S336" s="603">
        <f t="shared" si="60"/>
        <v>0</v>
      </c>
      <c r="T336" s="599">
        <f t="shared" si="61"/>
        <v>0</v>
      </c>
    </row>
    <row r="337" spans="1:20" ht="15">
      <c r="A337" s="1215"/>
      <c r="B337" s="564">
        <v>17</v>
      </c>
      <c r="C337" s="565"/>
      <c r="D337" s="564"/>
      <c r="E337" s="696"/>
      <c r="F337" s="566"/>
      <c r="G337" s="566"/>
      <c r="H337" s="566"/>
      <c r="I337" s="567"/>
      <c r="J337" s="567"/>
      <c r="K337" s="564"/>
      <c r="L337" s="564"/>
      <c r="M337" s="564"/>
      <c r="N337" s="564"/>
      <c r="O337" s="564"/>
      <c r="P337" s="564"/>
      <c r="Q337" s="573"/>
      <c r="R337" s="557"/>
      <c r="S337" s="603">
        <f t="shared" si="60"/>
        <v>0</v>
      </c>
      <c r="T337" s="599">
        <f t="shared" si="61"/>
        <v>0</v>
      </c>
    </row>
    <row r="338" spans="1:20" ht="15">
      <c r="A338" s="1215"/>
      <c r="B338" s="564">
        <v>18</v>
      </c>
      <c r="C338" s="565"/>
      <c r="D338" s="564"/>
      <c r="E338" s="696"/>
      <c r="F338" s="566"/>
      <c r="G338" s="566"/>
      <c r="H338" s="566"/>
      <c r="I338" s="567"/>
      <c r="J338" s="567"/>
      <c r="K338" s="564"/>
      <c r="L338" s="564"/>
      <c r="M338" s="564"/>
      <c r="N338" s="564"/>
      <c r="O338" s="564"/>
      <c r="P338" s="564"/>
      <c r="Q338" s="573"/>
      <c r="R338" s="557"/>
      <c r="S338" s="603">
        <f t="shared" si="60"/>
        <v>0</v>
      </c>
      <c r="T338" s="599">
        <f t="shared" si="61"/>
        <v>0</v>
      </c>
    </row>
    <row r="339" spans="1:20" ht="15">
      <c r="A339" s="1215"/>
      <c r="B339" s="564">
        <v>19</v>
      </c>
      <c r="C339" s="565"/>
      <c r="D339" s="564"/>
      <c r="E339" s="696"/>
      <c r="F339" s="566"/>
      <c r="G339" s="566"/>
      <c r="H339" s="566"/>
      <c r="I339" s="567"/>
      <c r="J339" s="567"/>
      <c r="K339" s="564"/>
      <c r="L339" s="564"/>
      <c r="M339" s="564"/>
      <c r="N339" s="564"/>
      <c r="O339" s="564"/>
      <c r="P339" s="564"/>
      <c r="Q339" s="573"/>
      <c r="R339" s="557"/>
      <c r="S339" s="603">
        <f t="shared" si="60"/>
        <v>0</v>
      </c>
      <c r="T339" s="599">
        <f t="shared" si="61"/>
        <v>0</v>
      </c>
    </row>
    <row r="340" spans="1:20" ht="15">
      <c r="A340" s="1215"/>
      <c r="B340" s="564">
        <v>20</v>
      </c>
      <c r="C340" s="565"/>
      <c r="D340" s="564"/>
      <c r="E340" s="696"/>
      <c r="F340" s="566"/>
      <c r="G340" s="566"/>
      <c r="H340" s="566"/>
      <c r="I340" s="567"/>
      <c r="J340" s="567"/>
      <c r="K340" s="564"/>
      <c r="L340" s="564"/>
      <c r="M340" s="564"/>
      <c r="N340" s="564"/>
      <c r="O340" s="564"/>
      <c r="P340" s="564"/>
      <c r="Q340" s="573"/>
      <c r="R340" s="557"/>
      <c r="S340" s="603">
        <f t="shared" si="60"/>
        <v>0</v>
      </c>
      <c r="T340" s="599">
        <f t="shared" si="61"/>
        <v>0</v>
      </c>
    </row>
    <row r="341" spans="1:20" ht="15">
      <c r="A341" s="1215"/>
      <c r="B341" s="564">
        <v>21</v>
      </c>
      <c r="C341" s="565"/>
      <c r="D341" s="564"/>
      <c r="E341" s="696"/>
      <c r="F341" s="566"/>
      <c r="G341" s="566"/>
      <c r="H341" s="566"/>
      <c r="I341" s="567"/>
      <c r="J341" s="567"/>
      <c r="K341" s="564"/>
      <c r="L341" s="564"/>
      <c r="M341" s="564"/>
      <c r="N341" s="564"/>
      <c r="O341" s="564"/>
      <c r="P341" s="564"/>
      <c r="Q341" s="573"/>
      <c r="R341" s="557"/>
      <c r="S341" s="603">
        <f t="shared" si="60"/>
        <v>0</v>
      </c>
      <c r="T341" s="599">
        <f t="shared" si="61"/>
        <v>0</v>
      </c>
    </row>
    <row r="342" spans="1:20" ht="15">
      <c r="A342" s="1215"/>
      <c r="B342" s="564">
        <v>22</v>
      </c>
      <c r="C342" s="565"/>
      <c r="D342" s="564"/>
      <c r="E342" s="696"/>
      <c r="F342" s="566"/>
      <c r="G342" s="566"/>
      <c r="H342" s="566"/>
      <c r="I342" s="567"/>
      <c r="J342" s="567"/>
      <c r="K342" s="564"/>
      <c r="L342" s="564"/>
      <c r="M342" s="564"/>
      <c r="N342" s="564"/>
      <c r="O342" s="564"/>
      <c r="P342" s="564"/>
      <c r="Q342" s="573"/>
      <c r="R342" s="557"/>
      <c r="S342" s="603">
        <f t="shared" si="60"/>
        <v>0</v>
      </c>
      <c r="T342" s="599">
        <f t="shared" si="61"/>
        <v>0</v>
      </c>
    </row>
    <row r="343" spans="1:20" ht="15">
      <c r="A343" s="1215"/>
      <c r="B343" s="564">
        <v>23</v>
      </c>
      <c r="C343" s="565"/>
      <c r="D343" s="564"/>
      <c r="E343" s="696"/>
      <c r="F343" s="566"/>
      <c r="G343" s="566"/>
      <c r="H343" s="566"/>
      <c r="I343" s="567"/>
      <c r="J343" s="567"/>
      <c r="K343" s="564"/>
      <c r="L343" s="564"/>
      <c r="M343" s="564"/>
      <c r="N343" s="564"/>
      <c r="O343" s="564"/>
      <c r="P343" s="564"/>
      <c r="Q343" s="573"/>
      <c r="R343" s="557"/>
      <c r="S343" s="603">
        <f t="shared" si="60"/>
        <v>0</v>
      </c>
      <c r="T343" s="599">
        <f t="shared" si="61"/>
        <v>0</v>
      </c>
    </row>
    <row r="344" spans="1:20" ht="15">
      <c r="A344" s="1215"/>
      <c r="B344" s="564">
        <v>24</v>
      </c>
      <c r="C344" s="565"/>
      <c r="D344" s="564"/>
      <c r="E344" s="696"/>
      <c r="F344" s="566"/>
      <c r="G344" s="566"/>
      <c r="H344" s="566"/>
      <c r="I344" s="567"/>
      <c r="J344" s="567"/>
      <c r="K344" s="564"/>
      <c r="L344" s="564"/>
      <c r="M344" s="564"/>
      <c r="N344" s="564"/>
      <c r="O344" s="564"/>
      <c r="P344" s="564"/>
      <c r="Q344" s="573"/>
      <c r="R344" s="557"/>
      <c r="S344" s="603">
        <f t="shared" si="60"/>
        <v>0</v>
      </c>
      <c r="T344" s="599">
        <f t="shared" si="61"/>
        <v>0</v>
      </c>
    </row>
    <row r="345" spans="1:20" ht="15">
      <c r="A345" s="1215"/>
      <c r="B345" s="564">
        <v>25</v>
      </c>
      <c r="C345" s="565"/>
      <c r="D345" s="564"/>
      <c r="E345" s="696"/>
      <c r="F345" s="566"/>
      <c r="G345" s="566"/>
      <c r="H345" s="566"/>
      <c r="I345" s="567"/>
      <c r="J345" s="567"/>
      <c r="K345" s="564"/>
      <c r="L345" s="564"/>
      <c r="M345" s="564"/>
      <c r="N345" s="564"/>
      <c r="O345" s="564"/>
      <c r="P345" s="564"/>
      <c r="Q345" s="573"/>
      <c r="R345" s="557"/>
      <c r="S345" s="603">
        <f t="shared" si="60"/>
        <v>0</v>
      </c>
      <c r="T345" s="599">
        <f t="shared" si="61"/>
        <v>0</v>
      </c>
    </row>
    <row r="346" spans="1:20" ht="15">
      <c r="A346" s="1215"/>
      <c r="B346" s="564">
        <v>26</v>
      </c>
      <c r="C346" s="565"/>
      <c r="D346" s="564"/>
      <c r="E346" s="697"/>
      <c r="F346" s="695"/>
      <c r="G346" s="695"/>
      <c r="H346" s="695"/>
      <c r="I346" s="693"/>
      <c r="J346" s="693"/>
      <c r="K346" s="574"/>
      <c r="L346" s="574"/>
      <c r="M346" s="574"/>
      <c r="N346" s="574"/>
      <c r="O346" s="574"/>
      <c r="P346" s="574"/>
      <c r="Q346" s="575"/>
      <c r="R346" s="557"/>
      <c r="S346" s="603">
        <f t="shared" si="60"/>
        <v>0</v>
      </c>
      <c r="T346" s="599">
        <f t="shared" si="61"/>
        <v>0</v>
      </c>
    </row>
    <row r="347" spans="1:20" ht="15">
      <c r="A347" s="1215"/>
      <c r="B347" s="564">
        <v>27</v>
      </c>
      <c r="C347" s="565"/>
      <c r="D347" s="564"/>
      <c r="E347" s="697"/>
      <c r="F347" s="695"/>
      <c r="G347" s="695"/>
      <c r="H347" s="695"/>
      <c r="I347" s="693"/>
      <c r="J347" s="693"/>
      <c r="K347" s="574"/>
      <c r="L347" s="574"/>
      <c r="M347" s="574"/>
      <c r="N347" s="574"/>
      <c r="O347" s="574"/>
      <c r="P347" s="574"/>
      <c r="Q347" s="575"/>
      <c r="R347" s="557"/>
      <c r="S347" s="603">
        <f t="shared" si="60"/>
        <v>0</v>
      </c>
      <c r="T347" s="599">
        <f t="shared" si="61"/>
        <v>0</v>
      </c>
    </row>
    <row r="348" spans="1:20" ht="15">
      <c r="A348" s="1215"/>
      <c r="B348" s="564">
        <v>28</v>
      </c>
      <c r="C348" s="565"/>
      <c r="D348" s="564"/>
      <c r="E348" s="697"/>
      <c r="F348" s="695"/>
      <c r="G348" s="695"/>
      <c r="H348" s="695"/>
      <c r="I348" s="693"/>
      <c r="J348" s="693"/>
      <c r="K348" s="574"/>
      <c r="L348" s="574"/>
      <c r="M348" s="574"/>
      <c r="N348" s="574"/>
      <c r="O348" s="574"/>
      <c r="P348" s="574"/>
      <c r="Q348" s="575"/>
      <c r="R348" s="557"/>
      <c r="S348" s="603">
        <f t="shared" si="60"/>
        <v>0</v>
      </c>
      <c r="T348" s="599">
        <f t="shared" si="61"/>
        <v>0</v>
      </c>
    </row>
    <row r="349" spans="1:20" ht="15">
      <c r="A349" s="1215"/>
      <c r="B349" s="564">
        <v>29</v>
      </c>
      <c r="C349" s="565"/>
      <c r="D349" s="564"/>
      <c r="E349" s="697"/>
      <c r="F349" s="695"/>
      <c r="G349" s="695"/>
      <c r="H349" s="695"/>
      <c r="I349" s="693"/>
      <c r="J349" s="693"/>
      <c r="K349" s="574"/>
      <c r="L349" s="574"/>
      <c r="M349" s="574"/>
      <c r="N349" s="574"/>
      <c r="O349" s="574"/>
      <c r="P349" s="574"/>
      <c r="Q349" s="575"/>
      <c r="R349" s="557"/>
      <c r="S349" s="603">
        <f t="shared" si="60"/>
        <v>0</v>
      </c>
      <c r="T349" s="599">
        <f t="shared" si="61"/>
        <v>0</v>
      </c>
    </row>
    <row r="350" spans="1:20" ht="15">
      <c r="A350" s="1215"/>
      <c r="B350" s="564">
        <v>30</v>
      </c>
      <c r="C350" s="565"/>
      <c r="D350" s="564"/>
      <c r="E350" s="697"/>
      <c r="F350" s="695"/>
      <c r="G350" s="695"/>
      <c r="H350" s="695"/>
      <c r="I350" s="693"/>
      <c r="J350" s="693"/>
      <c r="K350" s="574"/>
      <c r="L350" s="574"/>
      <c r="M350" s="574"/>
      <c r="N350" s="574"/>
      <c r="O350" s="574"/>
      <c r="P350" s="574"/>
      <c r="Q350" s="575"/>
      <c r="R350" s="557"/>
      <c r="S350" s="603">
        <f t="shared" si="60"/>
        <v>0</v>
      </c>
      <c r="T350" s="599">
        <f t="shared" si="61"/>
        <v>0</v>
      </c>
    </row>
    <row r="351" spans="1:20" ht="15">
      <c r="A351" s="1215"/>
      <c r="B351" s="564">
        <v>31</v>
      </c>
      <c r="C351" s="565"/>
      <c r="D351" s="564"/>
      <c r="E351" s="696"/>
      <c r="F351" s="566"/>
      <c r="G351" s="566"/>
      <c r="H351" s="566"/>
      <c r="I351" s="567"/>
      <c r="J351" s="567"/>
      <c r="K351" s="564"/>
      <c r="L351" s="564"/>
      <c r="M351" s="564"/>
      <c r="N351" s="564"/>
      <c r="O351" s="564"/>
      <c r="P351" s="564"/>
      <c r="Q351" s="573"/>
      <c r="R351" s="557"/>
      <c r="S351" s="603">
        <f t="shared" si="60"/>
        <v>0</v>
      </c>
      <c r="T351" s="599">
        <f t="shared" si="61"/>
        <v>0</v>
      </c>
    </row>
    <row r="352" spans="1:20" ht="15">
      <c r="A352" s="1215"/>
      <c r="B352" s="564">
        <v>32</v>
      </c>
      <c r="C352" s="565"/>
      <c r="D352" s="564"/>
      <c r="E352" s="696"/>
      <c r="F352" s="566"/>
      <c r="G352" s="566"/>
      <c r="H352" s="566"/>
      <c r="I352" s="567"/>
      <c r="J352" s="567"/>
      <c r="K352" s="564"/>
      <c r="L352" s="564"/>
      <c r="M352" s="564"/>
      <c r="N352" s="564"/>
      <c r="O352" s="564"/>
      <c r="P352" s="564"/>
      <c r="Q352" s="573"/>
      <c r="R352" s="557"/>
      <c r="S352" s="603">
        <f t="shared" si="60"/>
        <v>0</v>
      </c>
      <c r="T352" s="599">
        <f t="shared" si="61"/>
        <v>0</v>
      </c>
    </row>
    <row r="353" spans="1:20" ht="15">
      <c r="A353" s="1215"/>
      <c r="B353" s="564">
        <v>33</v>
      </c>
      <c r="C353" s="565"/>
      <c r="D353" s="564"/>
      <c r="E353" s="696"/>
      <c r="F353" s="566"/>
      <c r="G353" s="566"/>
      <c r="H353" s="566"/>
      <c r="I353" s="567"/>
      <c r="J353" s="567"/>
      <c r="K353" s="564"/>
      <c r="L353" s="564"/>
      <c r="M353" s="564"/>
      <c r="N353" s="564"/>
      <c r="O353" s="564"/>
      <c r="P353" s="564"/>
      <c r="Q353" s="573"/>
      <c r="R353" s="557"/>
      <c r="S353" s="603">
        <f t="shared" si="60"/>
        <v>0</v>
      </c>
      <c r="T353" s="599">
        <f t="shared" si="61"/>
        <v>0</v>
      </c>
    </row>
    <row r="354" spans="1:20" ht="15">
      <c r="A354" s="1215"/>
      <c r="B354" s="564">
        <v>34</v>
      </c>
      <c r="C354" s="565"/>
      <c r="D354" s="564"/>
      <c r="E354" s="696"/>
      <c r="F354" s="566"/>
      <c r="G354" s="566"/>
      <c r="H354" s="566"/>
      <c r="I354" s="567"/>
      <c r="J354" s="567"/>
      <c r="K354" s="564"/>
      <c r="L354" s="564"/>
      <c r="M354" s="564"/>
      <c r="N354" s="564"/>
      <c r="O354" s="564"/>
      <c r="P354" s="564"/>
      <c r="Q354" s="573"/>
      <c r="R354" s="557"/>
      <c r="S354" s="603">
        <f t="shared" si="60"/>
        <v>0</v>
      </c>
      <c r="T354" s="599">
        <f t="shared" si="61"/>
        <v>0</v>
      </c>
    </row>
    <row r="355" spans="1:20" ht="15">
      <c r="A355" s="1215"/>
      <c r="B355" s="564">
        <v>35</v>
      </c>
      <c r="C355" s="565"/>
      <c r="D355" s="564"/>
      <c r="E355" s="696"/>
      <c r="F355" s="566"/>
      <c r="G355" s="566"/>
      <c r="H355" s="566"/>
      <c r="I355" s="567"/>
      <c r="J355" s="567"/>
      <c r="K355" s="564"/>
      <c r="L355" s="564"/>
      <c r="M355" s="564"/>
      <c r="N355" s="564"/>
      <c r="O355" s="564"/>
      <c r="P355" s="564"/>
      <c r="Q355" s="573"/>
      <c r="R355" s="557"/>
      <c r="S355" s="603">
        <f t="shared" si="60"/>
        <v>0</v>
      </c>
      <c r="T355" s="599">
        <f t="shared" si="61"/>
        <v>0</v>
      </c>
    </row>
    <row r="356" spans="1:20" ht="15">
      <c r="A356" s="1215"/>
      <c r="B356" s="564">
        <v>36</v>
      </c>
      <c r="C356" s="565"/>
      <c r="D356" s="564"/>
      <c r="E356" s="696"/>
      <c r="F356" s="566"/>
      <c r="G356" s="566"/>
      <c r="H356" s="566"/>
      <c r="I356" s="567"/>
      <c r="J356" s="567"/>
      <c r="K356" s="564"/>
      <c r="L356" s="564"/>
      <c r="M356" s="564"/>
      <c r="N356" s="564"/>
      <c r="O356" s="564"/>
      <c r="P356" s="564"/>
      <c r="Q356" s="573"/>
      <c r="R356" s="557"/>
      <c r="S356" s="603">
        <f t="shared" si="60"/>
        <v>0</v>
      </c>
      <c r="T356" s="599">
        <f t="shared" si="61"/>
        <v>0</v>
      </c>
    </row>
    <row r="357" spans="1:20" ht="15">
      <c r="A357" s="1215"/>
      <c r="B357" s="564">
        <v>37</v>
      </c>
      <c r="C357" s="565"/>
      <c r="D357" s="564"/>
      <c r="E357" s="696"/>
      <c r="F357" s="566"/>
      <c r="G357" s="566"/>
      <c r="H357" s="566"/>
      <c r="I357" s="567"/>
      <c r="J357" s="567"/>
      <c r="K357" s="564"/>
      <c r="L357" s="564"/>
      <c r="M357" s="564"/>
      <c r="N357" s="564"/>
      <c r="O357" s="564"/>
      <c r="P357" s="564"/>
      <c r="Q357" s="573"/>
      <c r="R357" s="557"/>
      <c r="S357" s="603">
        <f t="shared" si="60"/>
        <v>0</v>
      </c>
      <c r="T357" s="599">
        <f t="shared" si="61"/>
        <v>0</v>
      </c>
    </row>
    <row r="358" spans="1:20" ht="15">
      <c r="A358" s="1215"/>
      <c r="B358" s="564">
        <v>38</v>
      </c>
      <c r="C358" s="565"/>
      <c r="D358" s="564"/>
      <c r="E358" s="696"/>
      <c r="F358" s="566"/>
      <c r="G358" s="566"/>
      <c r="H358" s="566"/>
      <c r="I358" s="567"/>
      <c r="J358" s="567"/>
      <c r="K358" s="564"/>
      <c r="L358" s="564"/>
      <c r="M358" s="564"/>
      <c r="N358" s="564"/>
      <c r="O358" s="564"/>
      <c r="P358" s="564"/>
      <c r="Q358" s="573"/>
      <c r="R358" s="557"/>
      <c r="S358" s="603">
        <f t="shared" si="60"/>
        <v>0</v>
      </c>
      <c r="T358" s="599">
        <f t="shared" si="61"/>
        <v>0</v>
      </c>
    </row>
    <row r="359" spans="1:20" ht="15">
      <c r="A359" s="1215"/>
      <c r="B359" s="564">
        <v>39</v>
      </c>
      <c r="C359" s="565"/>
      <c r="D359" s="564"/>
      <c r="E359" s="696"/>
      <c r="F359" s="566"/>
      <c r="G359" s="566"/>
      <c r="H359" s="566"/>
      <c r="I359" s="567"/>
      <c r="J359" s="567"/>
      <c r="K359" s="564"/>
      <c r="L359" s="564"/>
      <c r="M359" s="564"/>
      <c r="N359" s="564"/>
      <c r="O359" s="564"/>
      <c r="P359" s="564"/>
      <c r="Q359" s="573"/>
      <c r="R359" s="557"/>
      <c r="S359" s="603">
        <f t="shared" si="60"/>
        <v>0</v>
      </c>
      <c r="T359" s="599">
        <f t="shared" si="61"/>
        <v>0</v>
      </c>
    </row>
    <row r="360" spans="1:20" ht="15.75" thickBot="1">
      <c r="A360" s="1215"/>
      <c r="B360" s="564">
        <v>40</v>
      </c>
      <c r="C360" s="565"/>
      <c r="D360" s="564"/>
      <c r="E360" s="696"/>
      <c r="F360" s="566"/>
      <c r="G360" s="566"/>
      <c r="H360" s="566"/>
      <c r="I360" s="567"/>
      <c r="J360" s="567"/>
      <c r="K360" s="564"/>
      <c r="L360" s="564"/>
      <c r="M360" s="564"/>
      <c r="N360" s="564"/>
      <c r="O360" s="564"/>
      <c r="P360" s="564"/>
      <c r="Q360" s="573"/>
      <c r="R360" s="557"/>
      <c r="S360" s="604">
        <f t="shared" si="60"/>
        <v>0</v>
      </c>
      <c r="T360" s="600">
        <f t="shared" si="61"/>
        <v>0</v>
      </c>
    </row>
    <row r="361" spans="1:20" ht="15.75" thickBot="1">
      <c r="A361" s="1215"/>
      <c r="B361" s="576"/>
      <c r="C361" s="576"/>
      <c r="D361" s="576"/>
      <c r="E361" s="576"/>
      <c r="F361" s="576"/>
      <c r="G361" s="576"/>
      <c r="H361" s="576"/>
      <c r="I361" s="699"/>
      <c r="J361" s="699"/>
      <c r="K361" s="576"/>
      <c r="L361" s="576"/>
      <c r="M361" s="576"/>
      <c r="N361" s="576"/>
      <c r="O361" s="576"/>
      <c r="P361" s="576"/>
      <c r="Q361" s="576"/>
      <c r="R361" s="557"/>
    </row>
    <row r="362" spans="1:20" ht="15">
      <c r="A362" s="1215"/>
      <c r="B362" s="613"/>
      <c r="C362" s="614"/>
      <c r="D362" s="617" t="s">
        <v>968</v>
      </c>
      <c r="E362" s="700">
        <f>SUMPRODUCT(T321:T360,E321:E360)</f>
        <v>22325.719999999998</v>
      </c>
      <c r="F362" s="578"/>
      <c r="G362" s="578"/>
      <c r="H362" s="578"/>
      <c r="I362" s="579"/>
      <c r="J362" s="580"/>
      <c r="K362" s="580"/>
      <c r="L362" s="580"/>
      <c r="M362" s="580"/>
      <c r="N362" s="580"/>
      <c r="O362" s="580"/>
      <c r="P362" s="580"/>
      <c r="Q362" s="580"/>
      <c r="R362" s="185"/>
      <c r="S362" s="606">
        <f>SUM(S321:S360)</f>
        <v>1</v>
      </c>
      <c r="T362" s="606">
        <f>SUM(T321:T360)</f>
        <v>1</v>
      </c>
    </row>
    <row r="363" spans="1:20" ht="15.75" thickBot="1">
      <c r="A363" s="1215"/>
      <c r="B363" s="615"/>
      <c r="C363" s="616"/>
      <c r="D363" s="618" t="s">
        <v>969</v>
      </c>
      <c r="E363" s="701"/>
      <c r="F363" s="584">
        <f>IF($T362=0,0,(SUMPRODUCT($T321:$T360,F321:F360,$E321:$E360)/$E362))</f>
        <v>3.5</v>
      </c>
      <c r="G363" s="584">
        <f t="shared" ref="G363:H363" si="62">IF($T362=0,0,(SUMPRODUCT($T321:$T360,G321:G360,$E321:$E360)/$E362))</f>
        <v>6.5</v>
      </c>
      <c r="H363" s="584">
        <f t="shared" si="62"/>
        <v>10</v>
      </c>
      <c r="I363" s="585">
        <f t="shared" ref="I363:J363" si="63">IF($T362=0,0,(SUMPRODUCT($T321:$T360,I321:I360,$E321:$E360)/$E362))</f>
        <v>2.3523607561704596</v>
      </c>
      <c r="J363" s="585">
        <f t="shared" si="63"/>
        <v>1.3856998700804402</v>
      </c>
      <c r="K363" s="585">
        <f t="shared" ref="K363:Q363" si="64">IF($T362=0,0,(SUMPRODUCT($T321:$T360,K321:K360,$E321:$E360)/$E362))</f>
        <v>0.435</v>
      </c>
      <c r="L363" s="585">
        <f t="shared" si="64"/>
        <v>0.56499999999999995</v>
      </c>
      <c r="M363" s="585">
        <f t="shared" si="64"/>
        <v>0</v>
      </c>
      <c r="N363" s="585">
        <f t="shared" si="64"/>
        <v>0</v>
      </c>
      <c r="O363" s="585">
        <f t="shared" si="64"/>
        <v>0</v>
      </c>
      <c r="P363" s="585">
        <f t="shared" si="64"/>
        <v>0</v>
      </c>
      <c r="Q363" s="585">
        <f t="shared" si="64"/>
        <v>0</v>
      </c>
      <c r="R363" s="185"/>
    </row>
    <row r="364" spans="1:20" ht="15">
      <c r="A364" s="1215"/>
      <c r="B364" s="613"/>
      <c r="C364" s="614"/>
      <c r="D364" s="617" t="s">
        <v>970</v>
      </c>
      <c r="E364" s="700">
        <f>SUMPRODUCT(S321:S360,E321:E360)</f>
        <v>188294.28</v>
      </c>
      <c r="F364" s="578"/>
      <c r="G364" s="578"/>
      <c r="H364" s="578"/>
      <c r="I364" s="579"/>
      <c r="J364" s="589"/>
      <c r="K364" s="589"/>
      <c r="L364" s="589"/>
      <c r="M364" s="589"/>
      <c r="N364" s="589"/>
      <c r="O364" s="589"/>
      <c r="P364" s="589"/>
      <c r="Q364" s="589"/>
      <c r="R364" s="185"/>
    </row>
    <row r="365" spans="1:20" ht="15.75" thickBot="1">
      <c r="A365" s="1215"/>
      <c r="B365" s="615"/>
      <c r="C365" s="616"/>
      <c r="D365" s="618" t="s">
        <v>971</v>
      </c>
      <c r="E365" s="701"/>
      <c r="F365" s="584">
        <f>IF($S362=0,0,(SUMPRODUCT($S321:$S360,F321:F360,$E321:$E360)/$E364))</f>
        <v>3.5</v>
      </c>
      <c r="G365" s="584">
        <f t="shared" ref="G365:H365" si="65">IF($S362=0,0,(SUMPRODUCT($S321:$S360,G321:G360,$E321:$E360)/$E364))</f>
        <v>3.5</v>
      </c>
      <c r="H365" s="584">
        <f t="shared" si="65"/>
        <v>10</v>
      </c>
      <c r="I365" s="585">
        <f t="shared" ref="I365:J365" si="66">IF($S362=0,0,(SUMPRODUCT($S321:$S360,I321:I360,$E321:$E360)/$E364))</f>
        <v>2.3523607561704596</v>
      </c>
      <c r="J365" s="585">
        <f t="shared" si="66"/>
        <v>1.3856998700804402</v>
      </c>
      <c r="K365" s="585">
        <f t="shared" ref="K365:Q365" si="67">IF($S362=0,0,(SUMPRODUCT($S321:$S360,K321:K360,$E321:$E360)/$E364))</f>
        <v>0.43499999999999994</v>
      </c>
      <c r="L365" s="585">
        <f t="shared" si="67"/>
        <v>0.56499999999999995</v>
      </c>
      <c r="M365" s="585">
        <f t="shared" si="67"/>
        <v>0</v>
      </c>
      <c r="N365" s="585">
        <f t="shared" si="67"/>
        <v>0</v>
      </c>
      <c r="O365" s="585">
        <f t="shared" si="67"/>
        <v>0</v>
      </c>
      <c r="P365" s="585">
        <f t="shared" si="67"/>
        <v>0</v>
      </c>
      <c r="Q365" s="585">
        <f t="shared" si="67"/>
        <v>0</v>
      </c>
      <c r="R365" s="185"/>
    </row>
    <row r="366" spans="1:20" ht="15">
      <c r="A366" s="1215"/>
      <c r="B366" s="613"/>
      <c r="C366" s="614"/>
      <c r="D366" s="617" t="s">
        <v>972</v>
      </c>
      <c r="E366" s="700">
        <f>SUM(E321:E360)</f>
        <v>210620</v>
      </c>
      <c r="F366" s="578"/>
      <c r="G366" s="578"/>
      <c r="H366" s="578"/>
      <c r="I366" s="579"/>
      <c r="J366" s="580"/>
      <c r="K366" s="580"/>
      <c r="L366" s="580"/>
      <c r="M366" s="580"/>
      <c r="N366" s="580"/>
      <c r="O366" s="580"/>
      <c r="P366" s="580"/>
      <c r="Q366" s="580"/>
      <c r="R366" s="185"/>
    </row>
    <row r="367" spans="1:20" ht="15.75" thickBot="1">
      <c r="A367" s="1215"/>
      <c r="B367" s="615"/>
      <c r="C367" s="616"/>
      <c r="D367" s="618" t="s">
        <v>973</v>
      </c>
      <c r="E367" s="701"/>
      <c r="F367" s="584">
        <f>SUMPRODUCT($E321:$E360,F321:F360)/$E366</f>
        <v>3.5</v>
      </c>
      <c r="G367" s="584">
        <f t="shared" ref="G367:H367" si="68">SUMPRODUCT($E321:$E360,G321:G360)/$E366</f>
        <v>3.8179999999999996</v>
      </c>
      <c r="H367" s="584">
        <f t="shared" si="68"/>
        <v>10</v>
      </c>
      <c r="I367" s="585">
        <f t="shared" ref="I367:J367" si="69">SUMPRODUCT($E321:$E360,I321:I360)/$E366</f>
        <v>2.3523607561704596</v>
      </c>
      <c r="J367" s="585">
        <f t="shared" si="69"/>
        <v>1.3856998700804402</v>
      </c>
      <c r="K367" s="801">
        <f t="shared" ref="K367:Q367" si="70">SUMPRODUCT($E321:$E360,K321:K360)/$E366</f>
        <v>0.435</v>
      </c>
      <c r="L367" s="801">
        <f t="shared" si="70"/>
        <v>0.56499999999999995</v>
      </c>
      <c r="M367" s="801">
        <f t="shared" si="70"/>
        <v>0</v>
      </c>
      <c r="N367" s="801">
        <f t="shared" si="70"/>
        <v>0</v>
      </c>
      <c r="O367" s="585">
        <f t="shared" si="70"/>
        <v>0</v>
      </c>
      <c r="P367" s="585">
        <f t="shared" si="70"/>
        <v>0</v>
      </c>
      <c r="Q367" s="585">
        <f t="shared" si="70"/>
        <v>0</v>
      </c>
      <c r="R367" s="185"/>
    </row>
    <row r="368" spans="1:20" ht="15">
      <c r="A368" s="557"/>
      <c r="B368" s="557"/>
      <c r="C368" s="557"/>
      <c r="D368" s="557"/>
      <c r="E368" s="557"/>
      <c r="F368" s="557"/>
      <c r="G368" s="557"/>
      <c r="H368" s="557"/>
      <c r="I368" s="557"/>
      <c r="J368" s="590"/>
      <c r="K368" s="557"/>
      <c r="L368" s="557"/>
      <c r="M368" s="557"/>
      <c r="N368" s="557"/>
      <c r="O368" s="557"/>
      <c r="P368" s="557"/>
      <c r="Q368" s="557"/>
      <c r="R368" s="557"/>
    </row>
    <row r="369" spans="1:20" ht="15">
      <c r="A369" s="591"/>
      <c r="B369" s="554"/>
      <c r="C369" s="591"/>
      <c r="D369" s="591"/>
      <c r="E369" s="591"/>
      <c r="F369" s="591"/>
      <c r="G369" s="591"/>
      <c r="H369" s="591"/>
      <c r="I369" s="591"/>
      <c r="J369" s="591"/>
      <c r="K369" s="554"/>
      <c r="L369" s="591"/>
      <c r="M369" s="591"/>
      <c r="N369" s="591"/>
      <c r="O369" s="591"/>
      <c r="P369" s="591"/>
      <c r="Q369" s="591"/>
      <c r="R369" s="591"/>
    </row>
    <row r="370" spans="1:20" ht="15">
      <c r="A370" s="557"/>
      <c r="B370" s="799" t="s">
        <v>1173</v>
      </c>
      <c r="C370" s="800" t="s">
        <v>1194</v>
      </c>
      <c r="D370" s="557"/>
      <c r="E370" s="557"/>
      <c r="F370" s="557"/>
      <c r="G370" s="557"/>
      <c r="H370" s="557"/>
      <c r="I370" s="557"/>
      <c r="J370" s="557"/>
      <c r="K370" s="557"/>
      <c r="L370" s="557"/>
      <c r="M370" s="557"/>
      <c r="N370" s="557"/>
      <c r="O370" s="557"/>
      <c r="P370" s="557"/>
      <c r="Q370" s="557"/>
      <c r="R370" s="557"/>
    </row>
    <row r="371" spans="1:20" ht="15" customHeight="1" thickBot="1">
      <c r="A371" s="557"/>
      <c r="B371" s="799" t="s">
        <v>1174</v>
      </c>
      <c r="C371" s="800" t="s">
        <v>1193</v>
      </c>
      <c r="D371" s="557"/>
      <c r="E371" s="557"/>
      <c r="F371" s="608"/>
      <c r="G371" s="609" t="s">
        <v>173</v>
      </c>
      <c r="H371" s="609"/>
      <c r="I371" s="557"/>
      <c r="J371" s="557"/>
      <c r="K371" s="610"/>
      <c r="L371" s="611"/>
      <c r="M371" s="611" t="s">
        <v>954</v>
      </c>
      <c r="N371" s="611"/>
      <c r="O371" s="611"/>
      <c r="P371" s="611"/>
      <c r="Q371" s="612"/>
      <c r="R371" s="557"/>
    </row>
    <row r="372" spans="1:20" ht="60.75" thickBot="1">
      <c r="A372" s="1214" t="s">
        <v>1439</v>
      </c>
      <c r="B372" s="558" t="s">
        <v>955</v>
      </c>
      <c r="C372" s="559" t="s">
        <v>104</v>
      </c>
      <c r="D372" s="558" t="s">
        <v>769</v>
      </c>
      <c r="E372" s="558" t="s">
        <v>255</v>
      </c>
      <c r="F372" s="560" t="s">
        <v>956</v>
      </c>
      <c r="G372" s="560" t="s">
        <v>957</v>
      </c>
      <c r="H372" s="560" t="s">
        <v>958</v>
      </c>
      <c r="I372" s="561" t="s">
        <v>959</v>
      </c>
      <c r="J372" s="562" t="s">
        <v>960</v>
      </c>
      <c r="K372" s="562" t="s">
        <v>961</v>
      </c>
      <c r="L372" s="562" t="s">
        <v>962</v>
      </c>
      <c r="M372" s="562" t="s">
        <v>963</v>
      </c>
      <c r="N372" s="562" t="s">
        <v>964</v>
      </c>
      <c r="O372" s="562" t="s">
        <v>965</v>
      </c>
      <c r="P372" s="562" t="s">
        <v>966</v>
      </c>
      <c r="Q372" s="563" t="s">
        <v>967</v>
      </c>
      <c r="R372" s="557"/>
      <c r="S372" s="602" t="s">
        <v>771</v>
      </c>
      <c r="T372" s="601" t="s">
        <v>770</v>
      </c>
    </row>
    <row r="373" spans="1:20" ht="15">
      <c r="A373" s="1215"/>
      <c r="B373" s="564">
        <v>1</v>
      </c>
      <c r="C373" s="565" t="s">
        <v>1030</v>
      </c>
      <c r="D373" s="564" t="s">
        <v>770</v>
      </c>
      <c r="E373" s="696">
        <v>36090900</v>
      </c>
      <c r="F373" s="566">
        <v>4</v>
      </c>
      <c r="G373" s="566">
        <v>4</v>
      </c>
      <c r="H373" s="566">
        <v>4</v>
      </c>
      <c r="I373" s="567">
        <v>2.1098184810011325</v>
      </c>
      <c r="J373" s="568">
        <v>1.3360200985041808</v>
      </c>
      <c r="K373" s="569">
        <v>0.5</v>
      </c>
      <c r="L373" s="569">
        <v>0.4</v>
      </c>
      <c r="M373" s="569">
        <v>0.1</v>
      </c>
      <c r="N373" s="569">
        <v>0</v>
      </c>
      <c r="O373" s="569"/>
      <c r="P373" s="569"/>
      <c r="Q373" s="570"/>
      <c r="R373" s="557"/>
      <c r="S373" s="603">
        <f>IF(D373="Commercial",1,0)</f>
        <v>0</v>
      </c>
      <c r="T373" s="599">
        <f>IF(D373="Residential",1,0)</f>
        <v>1</v>
      </c>
    </row>
    <row r="374" spans="1:20" ht="15">
      <c r="A374" s="1215"/>
      <c r="B374" s="564">
        <v>2</v>
      </c>
      <c r="C374" s="565" t="s">
        <v>1048</v>
      </c>
      <c r="D374" s="564" t="s">
        <v>770</v>
      </c>
      <c r="E374" s="696">
        <v>16963020</v>
      </c>
      <c r="F374" s="566">
        <v>1.5</v>
      </c>
      <c r="G374" s="566">
        <v>2</v>
      </c>
      <c r="H374" s="566">
        <v>4</v>
      </c>
      <c r="I374" s="567">
        <v>2.1445792714936389</v>
      </c>
      <c r="J374" s="568">
        <v>1.4589116551573651</v>
      </c>
      <c r="K374" s="571">
        <v>0.5</v>
      </c>
      <c r="L374" s="571">
        <v>0.4</v>
      </c>
      <c r="M374" s="571">
        <v>0.1</v>
      </c>
      <c r="N374" s="571">
        <v>0</v>
      </c>
      <c r="O374" s="571"/>
      <c r="P374" s="571"/>
      <c r="Q374" s="572"/>
      <c r="R374" s="557"/>
      <c r="S374" s="603">
        <f t="shared" ref="S374:S412" si="71">IF(D374="Commercial",1,0)</f>
        <v>0</v>
      </c>
      <c r="T374" s="599">
        <f t="shared" ref="T374:T412" si="72">IF(D374="Residential",1,0)</f>
        <v>1</v>
      </c>
    </row>
    <row r="375" spans="1:20" ht="15">
      <c r="A375" s="1215"/>
      <c r="B375" s="564">
        <v>3</v>
      </c>
      <c r="C375" s="565" t="s">
        <v>1069</v>
      </c>
      <c r="D375" s="564" t="s">
        <v>770</v>
      </c>
      <c r="E375" s="696">
        <v>5005664</v>
      </c>
      <c r="F375" s="566">
        <v>6</v>
      </c>
      <c r="G375" s="566">
        <v>6</v>
      </c>
      <c r="H375" s="566">
        <v>6</v>
      </c>
      <c r="I375" s="567">
        <v>2.1382274410872029</v>
      </c>
      <c r="J375" s="568">
        <v>1.2579324779507752</v>
      </c>
      <c r="K375" s="571">
        <v>0.5</v>
      </c>
      <c r="L375" s="571">
        <v>0.4</v>
      </c>
      <c r="M375" s="571">
        <v>0.1</v>
      </c>
      <c r="N375" s="571">
        <v>0</v>
      </c>
      <c r="O375" s="571"/>
      <c r="P375" s="571"/>
      <c r="Q375" s="572"/>
      <c r="R375" s="557"/>
      <c r="S375" s="603">
        <f t="shared" si="71"/>
        <v>0</v>
      </c>
      <c r="T375" s="599">
        <f t="shared" si="72"/>
        <v>1</v>
      </c>
    </row>
    <row r="376" spans="1:20" ht="15">
      <c r="A376" s="1215"/>
      <c r="B376" s="564">
        <v>4</v>
      </c>
      <c r="C376" s="565" t="s">
        <v>1115</v>
      </c>
      <c r="D376" s="564" t="s">
        <v>771</v>
      </c>
      <c r="E376" s="696">
        <v>1884780</v>
      </c>
      <c r="F376" s="566">
        <v>1.5</v>
      </c>
      <c r="G376" s="566">
        <v>2</v>
      </c>
      <c r="H376" s="566">
        <v>4</v>
      </c>
      <c r="I376" s="567">
        <v>2.1445792714936389</v>
      </c>
      <c r="J376" s="568">
        <v>1.4589116551573651</v>
      </c>
      <c r="K376" s="571">
        <v>0.5</v>
      </c>
      <c r="L376" s="571">
        <v>0.4</v>
      </c>
      <c r="M376" s="571">
        <v>0.1</v>
      </c>
      <c r="N376" s="571">
        <v>0</v>
      </c>
      <c r="O376" s="571"/>
      <c r="P376" s="571"/>
      <c r="Q376" s="572"/>
      <c r="R376" s="557"/>
      <c r="S376" s="603">
        <f t="shared" si="71"/>
        <v>1</v>
      </c>
      <c r="T376" s="599">
        <f t="shared" si="72"/>
        <v>0</v>
      </c>
    </row>
    <row r="377" spans="1:20" ht="15">
      <c r="A377" s="1215"/>
      <c r="B377" s="564">
        <v>5</v>
      </c>
      <c r="C377" s="565" t="s">
        <v>1068</v>
      </c>
      <c r="D377" s="564" t="s">
        <v>770</v>
      </c>
      <c r="E377" s="696">
        <v>1566750</v>
      </c>
      <c r="F377" s="566">
        <v>3.7</v>
      </c>
      <c r="G377" s="566">
        <v>4.8999999999999995</v>
      </c>
      <c r="H377" s="566">
        <v>6</v>
      </c>
      <c r="I377" s="567">
        <v>2.1382274410872029</v>
      </c>
      <c r="J377" s="568">
        <v>1.2579324779507752</v>
      </c>
      <c r="K377" s="571">
        <v>0.5</v>
      </c>
      <c r="L377" s="571">
        <v>0.4</v>
      </c>
      <c r="M377" s="571">
        <v>0.1</v>
      </c>
      <c r="N377" s="571">
        <v>0</v>
      </c>
      <c r="O377" s="571"/>
      <c r="P377" s="571"/>
      <c r="Q377" s="572"/>
      <c r="R377" s="557"/>
      <c r="S377" s="603">
        <f t="shared" si="71"/>
        <v>0</v>
      </c>
      <c r="T377" s="599">
        <f t="shared" si="72"/>
        <v>1</v>
      </c>
    </row>
    <row r="378" spans="1:20" ht="15">
      <c r="A378" s="1215"/>
      <c r="B378" s="564">
        <v>6</v>
      </c>
      <c r="C378" s="565" t="s">
        <v>1046</v>
      </c>
      <c r="D378" s="564" t="s">
        <v>770</v>
      </c>
      <c r="E378" s="696">
        <v>1181500</v>
      </c>
      <c r="F378" s="566">
        <v>5</v>
      </c>
      <c r="G378" s="566">
        <v>5</v>
      </c>
      <c r="H378" s="566">
        <v>5</v>
      </c>
      <c r="I378" s="567">
        <v>2.1445792714936389</v>
      </c>
      <c r="J378" s="568">
        <v>1.4589116551573651</v>
      </c>
      <c r="K378" s="571">
        <v>0.5</v>
      </c>
      <c r="L378" s="571">
        <v>0.4</v>
      </c>
      <c r="M378" s="571">
        <v>0.1</v>
      </c>
      <c r="N378" s="571">
        <v>0</v>
      </c>
      <c r="O378" s="571"/>
      <c r="P378" s="571"/>
      <c r="Q378" s="572"/>
      <c r="R378" s="557"/>
      <c r="S378" s="603">
        <f t="shared" si="71"/>
        <v>0</v>
      </c>
      <c r="T378" s="599">
        <f t="shared" si="72"/>
        <v>1</v>
      </c>
    </row>
    <row r="379" spans="1:20" ht="15">
      <c r="A379" s="1215"/>
      <c r="B379" s="564">
        <v>7</v>
      </c>
      <c r="C379" s="565" t="s">
        <v>1031</v>
      </c>
      <c r="D379" s="564" t="s">
        <v>770</v>
      </c>
      <c r="E379" s="696">
        <v>1102500</v>
      </c>
      <c r="F379" s="566">
        <v>4</v>
      </c>
      <c r="G379" s="566">
        <v>4.45</v>
      </c>
      <c r="H379" s="566">
        <v>4.9000000000000004</v>
      </c>
      <c r="I379" s="567">
        <v>1.8860561874586299</v>
      </c>
      <c r="J379" s="568">
        <v>1.3064354950763004</v>
      </c>
      <c r="K379" s="571">
        <v>0.5</v>
      </c>
      <c r="L379" s="571">
        <v>0.4</v>
      </c>
      <c r="M379" s="571">
        <v>0.1</v>
      </c>
      <c r="N379" s="571">
        <v>0</v>
      </c>
      <c r="O379" s="571"/>
      <c r="P379" s="571"/>
      <c r="Q379" s="572"/>
      <c r="R379" s="557"/>
      <c r="S379" s="603">
        <f t="shared" si="71"/>
        <v>0</v>
      </c>
      <c r="T379" s="599">
        <f t="shared" si="72"/>
        <v>1</v>
      </c>
    </row>
    <row r="380" spans="1:20" ht="15">
      <c r="A380" s="1215"/>
      <c r="B380" s="564">
        <v>8</v>
      </c>
      <c r="C380" s="565" t="s">
        <v>1100</v>
      </c>
      <c r="D380" s="564" t="s">
        <v>771</v>
      </c>
      <c r="E380" s="696">
        <v>472500</v>
      </c>
      <c r="F380" s="566">
        <v>4</v>
      </c>
      <c r="G380" s="566">
        <v>4.45</v>
      </c>
      <c r="H380" s="566">
        <v>4.9000000000000004</v>
      </c>
      <c r="I380" s="567">
        <v>1.8860561874586299</v>
      </c>
      <c r="J380" s="568">
        <v>1.3064354950763004</v>
      </c>
      <c r="K380" s="571">
        <v>0.5</v>
      </c>
      <c r="L380" s="571">
        <v>0.4</v>
      </c>
      <c r="M380" s="571">
        <v>0.1</v>
      </c>
      <c r="N380" s="571">
        <v>0</v>
      </c>
      <c r="O380" s="571"/>
      <c r="P380" s="571"/>
      <c r="Q380" s="572"/>
      <c r="R380" s="557"/>
      <c r="S380" s="603">
        <f t="shared" si="71"/>
        <v>1</v>
      </c>
      <c r="T380" s="599">
        <f t="shared" si="72"/>
        <v>0</v>
      </c>
    </row>
    <row r="381" spans="1:20" ht="15">
      <c r="A381" s="1215"/>
      <c r="B381" s="564">
        <v>9</v>
      </c>
      <c r="C381" s="565" t="s">
        <v>1041</v>
      </c>
      <c r="D381" s="564" t="s">
        <v>770</v>
      </c>
      <c r="E381" s="696">
        <v>440000</v>
      </c>
      <c r="F381" s="566">
        <v>4.9000000000000004</v>
      </c>
      <c r="G381" s="566">
        <v>4.9000000000000004</v>
      </c>
      <c r="H381" s="566">
        <v>4.9000000000000004</v>
      </c>
      <c r="I381" s="567">
        <v>2.1747396831740726</v>
      </c>
      <c r="J381" s="568">
        <v>1.3333567987466031</v>
      </c>
      <c r="K381" s="571">
        <v>0.5</v>
      </c>
      <c r="L381" s="571">
        <v>0.4</v>
      </c>
      <c r="M381" s="571">
        <v>0.1</v>
      </c>
      <c r="N381" s="571">
        <v>0</v>
      </c>
      <c r="O381" s="571"/>
      <c r="P381" s="571"/>
      <c r="Q381" s="572"/>
      <c r="R381" s="557"/>
      <c r="S381" s="603">
        <f t="shared" si="71"/>
        <v>0</v>
      </c>
      <c r="T381" s="599">
        <f t="shared" si="72"/>
        <v>1</v>
      </c>
    </row>
    <row r="382" spans="1:20" ht="15">
      <c r="A382" s="1215"/>
      <c r="B382" s="564">
        <v>10</v>
      </c>
      <c r="C382" s="565" t="s">
        <v>1119</v>
      </c>
      <c r="D382" s="564" t="s">
        <v>771</v>
      </c>
      <c r="E382" s="696">
        <v>263456</v>
      </c>
      <c r="F382" s="566">
        <v>6</v>
      </c>
      <c r="G382" s="566">
        <v>6</v>
      </c>
      <c r="H382" s="566">
        <v>6</v>
      </c>
      <c r="I382" s="567">
        <v>2.1382274410872029</v>
      </c>
      <c r="J382" s="568">
        <v>1.2579324779507752</v>
      </c>
      <c r="K382" s="571">
        <v>0.5</v>
      </c>
      <c r="L382" s="571">
        <v>0.4</v>
      </c>
      <c r="M382" s="571">
        <v>0.1</v>
      </c>
      <c r="N382" s="571">
        <v>0</v>
      </c>
      <c r="O382" s="571"/>
      <c r="P382" s="571"/>
      <c r="Q382" s="572"/>
      <c r="R382" s="557"/>
      <c r="S382" s="603">
        <f t="shared" si="71"/>
        <v>1</v>
      </c>
      <c r="T382" s="599">
        <f t="shared" si="72"/>
        <v>0</v>
      </c>
    </row>
    <row r="383" spans="1:20" ht="15">
      <c r="A383" s="1215"/>
      <c r="B383" s="564">
        <v>11</v>
      </c>
      <c r="C383" s="565" t="s">
        <v>1113</v>
      </c>
      <c r="D383" s="564" t="s">
        <v>771</v>
      </c>
      <c r="E383" s="696">
        <v>208500</v>
      </c>
      <c r="F383" s="566">
        <v>5</v>
      </c>
      <c r="G383" s="566">
        <v>5</v>
      </c>
      <c r="H383" s="566">
        <v>5</v>
      </c>
      <c r="I383" s="567">
        <v>2.1445792714936389</v>
      </c>
      <c r="J383" s="568">
        <v>1.4589116551573651</v>
      </c>
      <c r="K383" s="571">
        <v>0.5</v>
      </c>
      <c r="L383" s="571">
        <v>0.4</v>
      </c>
      <c r="M383" s="571">
        <v>0.1</v>
      </c>
      <c r="N383" s="571">
        <v>0</v>
      </c>
      <c r="O383" s="571"/>
      <c r="P383" s="571"/>
      <c r="Q383" s="572"/>
      <c r="R383" s="557"/>
      <c r="S383" s="603">
        <f t="shared" si="71"/>
        <v>1</v>
      </c>
      <c r="T383" s="599">
        <f t="shared" si="72"/>
        <v>0</v>
      </c>
    </row>
    <row r="384" spans="1:20" ht="15">
      <c r="A384" s="1215"/>
      <c r="B384" s="564">
        <v>12</v>
      </c>
      <c r="C384" s="565" t="s">
        <v>1045</v>
      </c>
      <c r="D384" s="564" t="s">
        <v>770</v>
      </c>
      <c r="E384" s="696">
        <v>30269.999999999996</v>
      </c>
      <c r="F384" s="566">
        <v>4.9000000000000004</v>
      </c>
      <c r="G384" s="566">
        <v>4.9000000000000004</v>
      </c>
      <c r="H384" s="566">
        <v>4.9000000000000004</v>
      </c>
      <c r="I384" s="567">
        <v>2.6014241494118679</v>
      </c>
      <c r="J384" s="568">
        <v>1.6891138029720172</v>
      </c>
      <c r="K384" s="571">
        <v>0.5</v>
      </c>
      <c r="L384" s="571">
        <v>0.4</v>
      </c>
      <c r="M384" s="571">
        <v>0.1</v>
      </c>
      <c r="N384" s="571">
        <v>0</v>
      </c>
      <c r="O384" s="571"/>
      <c r="P384" s="571"/>
      <c r="Q384" s="572"/>
      <c r="R384" s="557"/>
      <c r="S384" s="603">
        <f t="shared" si="71"/>
        <v>0</v>
      </c>
      <c r="T384" s="599">
        <f t="shared" si="72"/>
        <v>1</v>
      </c>
    </row>
    <row r="385" spans="1:20" ht="15">
      <c r="A385" s="1215"/>
      <c r="B385" s="564">
        <v>13</v>
      </c>
      <c r="C385" s="565"/>
      <c r="D385" s="564"/>
      <c r="E385" s="696"/>
      <c r="F385" s="566"/>
      <c r="G385" s="566"/>
      <c r="H385" s="566"/>
      <c r="I385" s="567"/>
      <c r="J385" s="568"/>
      <c r="K385" s="571"/>
      <c r="L385" s="571"/>
      <c r="M385" s="571"/>
      <c r="N385" s="571"/>
      <c r="O385" s="571"/>
      <c r="P385" s="571"/>
      <c r="Q385" s="572"/>
      <c r="R385" s="557"/>
      <c r="S385" s="603">
        <f t="shared" si="71"/>
        <v>0</v>
      </c>
      <c r="T385" s="599">
        <f t="shared" si="72"/>
        <v>0</v>
      </c>
    </row>
    <row r="386" spans="1:20" ht="15">
      <c r="A386" s="1215"/>
      <c r="B386" s="564">
        <v>14</v>
      </c>
      <c r="C386" s="565"/>
      <c r="D386" s="564"/>
      <c r="E386" s="696"/>
      <c r="F386" s="566"/>
      <c r="G386" s="566"/>
      <c r="H386" s="566"/>
      <c r="I386" s="567"/>
      <c r="J386" s="568"/>
      <c r="K386" s="571"/>
      <c r="L386" s="571"/>
      <c r="M386" s="571"/>
      <c r="N386" s="571"/>
      <c r="O386" s="571"/>
      <c r="P386" s="571"/>
      <c r="Q386" s="572"/>
      <c r="R386" s="557"/>
      <c r="S386" s="603">
        <f t="shared" si="71"/>
        <v>0</v>
      </c>
      <c r="T386" s="599">
        <f t="shared" si="72"/>
        <v>0</v>
      </c>
    </row>
    <row r="387" spans="1:20" ht="15">
      <c r="A387" s="1215"/>
      <c r="B387" s="564">
        <v>15</v>
      </c>
      <c r="C387" s="565"/>
      <c r="D387" s="564"/>
      <c r="E387" s="696"/>
      <c r="F387" s="566"/>
      <c r="G387" s="566"/>
      <c r="H387" s="566"/>
      <c r="I387" s="567"/>
      <c r="J387" s="568"/>
      <c r="K387" s="571"/>
      <c r="L387" s="571"/>
      <c r="M387" s="571"/>
      <c r="N387" s="571"/>
      <c r="O387" s="571"/>
      <c r="P387" s="571"/>
      <c r="Q387" s="572"/>
      <c r="R387" s="557"/>
      <c r="S387" s="603">
        <f t="shared" si="71"/>
        <v>0</v>
      </c>
      <c r="T387" s="599">
        <f t="shared" si="72"/>
        <v>0</v>
      </c>
    </row>
    <row r="388" spans="1:20" ht="15">
      <c r="A388" s="1215"/>
      <c r="B388" s="564">
        <v>16</v>
      </c>
      <c r="C388" s="565"/>
      <c r="D388" s="564"/>
      <c r="E388" s="696"/>
      <c r="F388" s="566"/>
      <c r="G388" s="566"/>
      <c r="H388" s="566"/>
      <c r="I388" s="567"/>
      <c r="J388" s="568"/>
      <c r="K388" s="571"/>
      <c r="L388" s="571"/>
      <c r="M388" s="571"/>
      <c r="N388" s="571"/>
      <c r="O388" s="571"/>
      <c r="P388" s="571"/>
      <c r="Q388" s="572"/>
      <c r="R388" s="557"/>
      <c r="S388" s="603">
        <f t="shared" si="71"/>
        <v>0</v>
      </c>
      <c r="T388" s="599">
        <f t="shared" si="72"/>
        <v>0</v>
      </c>
    </row>
    <row r="389" spans="1:20" ht="15">
      <c r="A389" s="1215"/>
      <c r="B389" s="564">
        <v>17</v>
      </c>
      <c r="C389" s="565"/>
      <c r="D389" s="564"/>
      <c r="E389" s="696"/>
      <c r="F389" s="566"/>
      <c r="G389" s="566"/>
      <c r="H389" s="566"/>
      <c r="I389" s="567"/>
      <c r="J389" s="567"/>
      <c r="K389" s="564"/>
      <c r="L389" s="564"/>
      <c r="M389" s="564"/>
      <c r="N389" s="564"/>
      <c r="O389" s="564"/>
      <c r="P389" s="564"/>
      <c r="Q389" s="573"/>
      <c r="R389" s="557"/>
      <c r="S389" s="603">
        <f t="shared" si="71"/>
        <v>0</v>
      </c>
      <c r="T389" s="599">
        <f t="shared" si="72"/>
        <v>0</v>
      </c>
    </row>
    <row r="390" spans="1:20" ht="15">
      <c r="A390" s="1215"/>
      <c r="B390" s="564">
        <v>18</v>
      </c>
      <c r="C390" s="565"/>
      <c r="D390" s="564"/>
      <c r="E390" s="696"/>
      <c r="F390" s="566"/>
      <c r="G390" s="566"/>
      <c r="H390" s="566"/>
      <c r="I390" s="567"/>
      <c r="J390" s="567"/>
      <c r="K390" s="564"/>
      <c r="L390" s="564"/>
      <c r="M390" s="564"/>
      <c r="N390" s="564"/>
      <c r="O390" s="564"/>
      <c r="P390" s="564"/>
      <c r="Q390" s="573"/>
      <c r="R390" s="557"/>
      <c r="S390" s="603">
        <f t="shared" si="71"/>
        <v>0</v>
      </c>
      <c r="T390" s="599">
        <f t="shared" si="72"/>
        <v>0</v>
      </c>
    </row>
    <row r="391" spans="1:20" ht="15">
      <c r="A391" s="1215"/>
      <c r="B391" s="564">
        <v>19</v>
      </c>
      <c r="C391" s="565"/>
      <c r="D391" s="564"/>
      <c r="E391" s="696"/>
      <c r="F391" s="566"/>
      <c r="G391" s="566"/>
      <c r="H391" s="566"/>
      <c r="I391" s="567"/>
      <c r="J391" s="567"/>
      <c r="K391" s="564"/>
      <c r="L391" s="564"/>
      <c r="M391" s="564"/>
      <c r="N391" s="564"/>
      <c r="O391" s="564"/>
      <c r="P391" s="564"/>
      <c r="Q391" s="573"/>
      <c r="R391" s="557"/>
      <c r="S391" s="603">
        <f t="shared" si="71"/>
        <v>0</v>
      </c>
      <c r="T391" s="599">
        <f t="shared" si="72"/>
        <v>0</v>
      </c>
    </row>
    <row r="392" spans="1:20" ht="15">
      <c r="A392" s="1215"/>
      <c r="B392" s="564">
        <v>20</v>
      </c>
      <c r="C392" s="565"/>
      <c r="D392" s="564"/>
      <c r="E392" s="696"/>
      <c r="F392" s="566"/>
      <c r="G392" s="566"/>
      <c r="H392" s="566"/>
      <c r="I392" s="567"/>
      <c r="J392" s="567"/>
      <c r="K392" s="564"/>
      <c r="L392" s="564"/>
      <c r="M392" s="564"/>
      <c r="N392" s="564"/>
      <c r="O392" s="564"/>
      <c r="P392" s="564"/>
      <c r="Q392" s="573"/>
      <c r="R392" s="557"/>
      <c r="S392" s="603">
        <f t="shared" si="71"/>
        <v>0</v>
      </c>
      <c r="T392" s="599">
        <f t="shared" si="72"/>
        <v>0</v>
      </c>
    </row>
    <row r="393" spans="1:20" ht="15">
      <c r="A393" s="1215"/>
      <c r="B393" s="564">
        <v>21</v>
      </c>
      <c r="C393" s="565"/>
      <c r="D393" s="564"/>
      <c r="E393" s="696"/>
      <c r="F393" s="566"/>
      <c r="G393" s="566"/>
      <c r="H393" s="566"/>
      <c r="I393" s="567"/>
      <c r="J393" s="567"/>
      <c r="K393" s="564"/>
      <c r="L393" s="564"/>
      <c r="M393" s="564"/>
      <c r="N393" s="564"/>
      <c r="O393" s="564"/>
      <c r="P393" s="564"/>
      <c r="Q393" s="573"/>
      <c r="R393" s="557"/>
      <c r="S393" s="603">
        <f t="shared" si="71"/>
        <v>0</v>
      </c>
      <c r="T393" s="599">
        <f t="shared" si="72"/>
        <v>0</v>
      </c>
    </row>
    <row r="394" spans="1:20" ht="15">
      <c r="A394" s="1215"/>
      <c r="B394" s="564">
        <v>22</v>
      </c>
      <c r="C394" s="565"/>
      <c r="D394" s="564"/>
      <c r="E394" s="696"/>
      <c r="F394" s="566"/>
      <c r="G394" s="566"/>
      <c r="H394" s="566"/>
      <c r="I394" s="567"/>
      <c r="J394" s="567"/>
      <c r="K394" s="564"/>
      <c r="L394" s="564"/>
      <c r="M394" s="564"/>
      <c r="N394" s="564"/>
      <c r="O394" s="564"/>
      <c r="P394" s="564"/>
      <c r="Q394" s="573"/>
      <c r="R394" s="557"/>
      <c r="S394" s="603">
        <f t="shared" si="71"/>
        <v>0</v>
      </c>
      <c r="T394" s="599">
        <f t="shared" si="72"/>
        <v>0</v>
      </c>
    </row>
    <row r="395" spans="1:20" ht="15">
      <c r="A395" s="1215"/>
      <c r="B395" s="564">
        <v>23</v>
      </c>
      <c r="C395" s="565"/>
      <c r="D395" s="564"/>
      <c r="E395" s="696"/>
      <c r="F395" s="566"/>
      <c r="G395" s="566"/>
      <c r="H395" s="566"/>
      <c r="I395" s="567"/>
      <c r="J395" s="567"/>
      <c r="K395" s="564"/>
      <c r="L395" s="564"/>
      <c r="M395" s="564"/>
      <c r="N395" s="564"/>
      <c r="O395" s="564"/>
      <c r="P395" s="564"/>
      <c r="Q395" s="573"/>
      <c r="R395" s="557"/>
      <c r="S395" s="603">
        <f t="shared" si="71"/>
        <v>0</v>
      </c>
      <c r="T395" s="599">
        <f t="shared" si="72"/>
        <v>0</v>
      </c>
    </row>
    <row r="396" spans="1:20" ht="15">
      <c r="A396" s="1215"/>
      <c r="B396" s="564">
        <v>24</v>
      </c>
      <c r="C396" s="565"/>
      <c r="D396" s="564"/>
      <c r="E396" s="696"/>
      <c r="F396" s="566"/>
      <c r="G396" s="566"/>
      <c r="H396" s="566"/>
      <c r="I396" s="567"/>
      <c r="J396" s="567"/>
      <c r="K396" s="564"/>
      <c r="L396" s="564"/>
      <c r="M396" s="564"/>
      <c r="N396" s="564"/>
      <c r="O396" s="564"/>
      <c r="P396" s="564"/>
      <c r="Q396" s="573"/>
      <c r="R396" s="557"/>
      <c r="S396" s="603">
        <f t="shared" si="71"/>
        <v>0</v>
      </c>
      <c r="T396" s="599">
        <f t="shared" si="72"/>
        <v>0</v>
      </c>
    </row>
    <row r="397" spans="1:20" ht="15">
      <c r="A397" s="1215"/>
      <c r="B397" s="564">
        <v>25</v>
      </c>
      <c r="C397" s="565"/>
      <c r="D397" s="564"/>
      <c r="E397" s="696"/>
      <c r="F397" s="566"/>
      <c r="G397" s="566"/>
      <c r="H397" s="566"/>
      <c r="I397" s="567"/>
      <c r="J397" s="567"/>
      <c r="K397" s="564"/>
      <c r="L397" s="564"/>
      <c r="M397" s="564"/>
      <c r="N397" s="564"/>
      <c r="O397" s="564"/>
      <c r="P397" s="564"/>
      <c r="Q397" s="573"/>
      <c r="R397" s="557"/>
      <c r="S397" s="603">
        <f t="shared" si="71"/>
        <v>0</v>
      </c>
      <c r="T397" s="599">
        <f t="shared" si="72"/>
        <v>0</v>
      </c>
    </row>
    <row r="398" spans="1:20" ht="15">
      <c r="A398" s="1215"/>
      <c r="B398" s="564">
        <v>26</v>
      </c>
      <c r="C398" s="565"/>
      <c r="D398" s="564"/>
      <c r="E398" s="697"/>
      <c r="F398" s="695"/>
      <c r="G398" s="695"/>
      <c r="H398" s="695"/>
      <c r="I398" s="693"/>
      <c r="J398" s="693"/>
      <c r="K398" s="574"/>
      <c r="L398" s="574"/>
      <c r="M398" s="574"/>
      <c r="N398" s="574"/>
      <c r="O398" s="574"/>
      <c r="P398" s="574"/>
      <c r="Q398" s="575"/>
      <c r="R398" s="557"/>
      <c r="S398" s="603">
        <f t="shared" si="71"/>
        <v>0</v>
      </c>
      <c r="T398" s="599">
        <f t="shared" si="72"/>
        <v>0</v>
      </c>
    </row>
    <row r="399" spans="1:20" ht="15">
      <c r="A399" s="1215"/>
      <c r="B399" s="564">
        <v>27</v>
      </c>
      <c r="C399" s="565"/>
      <c r="D399" s="564"/>
      <c r="E399" s="697"/>
      <c r="F399" s="695"/>
      <c r="G399" s="695"/>
      <c r="H399" s="695"/>
      <c r="I399" s="693"/>
      <c r="J399" s="693"/>
      <c r="K399" s="574"/>
      <c r="L399" s="574"/>
      <c r="M399" s="574"/>
      <c r="N399" s="574"/>
      <c r="O399" s="574"/>
      <c r="P399" s="574"/>
      <c r="Q399" s="575"/>
      <c r="R399" s="557"/>
      <c r="S399" s="603">
        <f t="shared" si="71"/>
        <v>0</v>
      </c>
      <c r="T399" s="599">
        <f t="shared" si="72"/>
        <v>0</v>
      </c>
    </row>
    <row r="400" spans="1:20" ht="15">
      <c r="A400" s="1215"/>
      <c r="B400" s="564">
        <v>28</v>
      </c>
      <c r="C400" s="565"/>
      <c r="D400" s="564"/>
      <c r="E400" s="697"/>
      <c r="F400" s="695"/>
      <c r="G400" s="695"/>
      <c r="H400" s="695"/>
      <c r="I400" s="693"/>
      <c r="J400" s="693"/>
      <c r="K400" s="574"/>
      <c r="L400" s="574"/>
      <c r="M400" s="574"/>
      <c r="N400" s="574"/>
      <c r="O400" s="574"/>
      <c r="P400" s="574"/>
      <c r="Q400" s="575"/>
      <c r="R400" s="557"/>
      <c r="S400" s="603">
        <f t="shared" si="71"/>
        <v>0</v>
      </c>
      <c r="T400" s="599">
        <f t="shared" si="72"/>
        <v>0</v>
      </c>
    </row>
    <row r="401" spans="1:20" ht="15">
      <c r="A401" s="1215"/>
      <c r="B401" s="564">
        <v>29</v>
      </c>
      <c r="C401" s="565"/>
      <c r="D401" s="564"/>
      <c r="E401" s="697"/>
      <c r="F401" s="695"/>
      <c r="G401" s="695"/>
      <c r="H401" s="695"/>
      <c r="I401" s="693"/>
      <c r="J401" s="693"/>
      <c r="K401" s="574"/>
      <c r="L401" s="574"/>
      <c r="M401" s="574"/>
      <c r="N401" s="574"/>
      <c r="O401" s="574"/>
      <c r="P401" s="574"/>
      <c r="Q401" s="575"/>
      <c r="R401" s="557"/>
      <c r="S401" s="603">
        <f t="shared" si="71"/>
        <v>0</v>
      </c>
      <c r="T401" s="599">
        <f t="shared" si="72"/>
        <v>0</v>
      </c>
    </row>
    <row r="402" spans="1:20" ht="15">
      <c r="A402" s="1215"/>
      <c r="B402" s="564">
        <v>30</v>
      </c>
      <c r="C402" s="565"/>
      <c r="D402" s="564"/>
      <c r="E402" s="697"/>
      <c r="F402" s="695"/>
      <c r="G402" s="695"/>
      <c r="H402" s="695"/>
      <c r="I402" s="693"/>
      <c r="J402" s="693"/>
      <c r="K402" s="574"/>
      <c r="L402" s="574"/>
      <c r="M402" s="574"/>
      <c r="N402" s="574"/>
      <c r="O402" s="574"/>
      <c r="P402" s="574"/>
      <c r="Q402" s="575"/>
      <c r="R402" s="557"/>
      <c r="S402" s="603">
        <f t="shared" si="71"/>
        <v>0</v>
      </c>
      <c r="T402" s="599">
        <f t="shared" si="72"/>
        <v>0</v>
      </c>
    </row>
    <row r="403" spans="1:20" ht="15">
      <c r="A403" s="1215"/>
      <c r="B403" s="564">
        <v>31</v>
      </c>
      <c r="C403" s="565"/>
      <c r="D403" s="564"/>
      <c r="E403" s="696"/>
      <c r="F403" s="566"/>
      <c r="G403" s="566"/>
      <c r="H403" s="566"/>
      <c r="I403" s="567"/>
      <c r="J403" s="567"/>
      <c r="K403" s="564"/>
      <c r="L403" s="564"/>
      <c r="M403" s="564"/>
      <c r="N403" s="564"/>
      <c r="O403" s="564"/>
      <c r="P403" s="564"/>
      <c r="Q403" s="573"/>
      <c r="R403" s="557"/>
      <c r="S403" s="603">
        <f t="shared" si="71"/>
        <v>0</v>
      </c>
      <c r="T403" s="599">
        <f t="shared" si="72"/>
        <v>0</v>
      </c>
    </row>
    <row r="404" spans="1:20" ht="15">
      <c r="A404" s="1215"/>
      <c r="B404" s="564">
        <v>32</v>
      </c>
      <c r="C404" s="565"/>
      <c r="D404" s="564"/>
      <c r="E404" s="696"/>
      <c r="F404" s="566"/>
      <c r="G404" s="566"/>
      <c r="H404" s="566"/>
      <c r="I404" s="567"/>
      <c r="J404" s="567"/>
      <c r="K404" s="564"/>
      <c r="L404" s="564"/>
      <c r="M404" s="564"/>
      <c r="N404" s="564"/>
      <c r="O404" s="564"/>
      <c r="P404" s="564"/>
      <c r="Q404" s="573"/>
      <c r="R404" s="557"/>
      <c r="S404" s="603">
        <f t="shared" si="71"/>
        <v>0</v>
      </c>
      <c r="T404" s="599">
        <f t="shared" si="72"/>
        <v>0</v>
      </c>
    </row>
    <row r="405" spans="1:20" ht="15">
      <c r="A405" s="1215"/>
      <c r="B405" s="564">
        <v>33</v>
      </c>
      <c r="C405" s="565"/>
      <c r="D405" s="564"/>
      <c r="E405" s="696"/>
      <c r="F405" s="566"/>
      <c r="G405" s="566"/>
      <c r="H405" s="566"/>
      <c r="I405" s="567"/>
      <c r="J405" s="567"/>
      <c r="K405" s="564"/>
      <c r="L405" s="564"/>
      <c r="M405" s="564"/>
      <c r="N405" s="564"/>
      <c r="O405" s="564"/>
      <c r="P405" s="564"/>
      <c r="Q405" s="573"/>
      <c r="R405" s="557"/>
      <c r="S405" s="603">
        <f t="shared" si="71"/>
        <v>0</v>
      </c>
      <c r="T405" s="599">
        <f t="shared" si="72"/>
        <v>0</v>
      </c>
    </row>
    <row r="406" spans="1:20" ht="15">
      <c r="A406" s="1215"/>
      <c r="B406" s="564">
        <v>34</v>
      </c>
      <c r="C406" s="565"/>
      <c r="D406" s="564"/>
      <c r="E406" s="696"/>
      <c r="F406" s="566"/>
      <c r="G406" s="566"/>
      <c r="H406" s="566"/>
      <c r="I406" s="567"/>
      <c r="J406" s="567"/>
      <c r="K406" s="564"/>
      <c r="L406" s="564"/>
      <c r="M406" s="564"/>
      <c r="N406" s="564"/>
      <c r="O406" s="564"/>
      <c r="P406" s="564"/>
      <c r="Q406" s="573"/>
      <c r="R406" s="557"/>
      <c r="S406" s="603">
        <f t="shared" si="71"/>
        <v>0</v>
      </c>
      <c r="T406" s="599">
        <f t="shared" si="72"/>
        <v>0</v>
      </c>
    </row>
    <row r="407" spans="1:20" ht="15">
      <c r="A407" s="1215"/>
      <c r="B407" s="564">
        <v>35</v>
      </c>
      <c r="C407" s="565"/>
      <c r="D407" s="564"/>
      <c r="E407" s="696"/>
      <c r="F407" s="566"/>
      <c r="G407" s="566"/>
      <c r="H407" s="566"/>
      <c r="I407" s="567"/>
      <c r="J407" s="567"/>
      <c r="K407" s="564"/>
      <c r="L407" s="564"/>
      <c r="M407" s="564"/>
      <c r="N407" s="564"/>
      <c r="O407" s="564"/>
      <c r="P407" s="564"/>
      <c r="Q407" s="573"/>
      <c r="R407" s="557"/>
      <c r="S407" s="603">
        <f t="shared" si="71"/>
        <v>0</v>
      </c>
      <c r="T407" s="599">
        <f t="shared" si="72"/>
        <v>0</v>
      </c>
    </row>
    <row r="408" spans="1:20" ht="15">
      <c r="A408" s="1215"/>
      <c r="B408" s="564">
        <v>36</v>
      </c>
      <c r="C408" s="565"/>
      <c r="D408" s="564"/>
      <c r="E408" s="696"/>
      <c r="F408" s="566"/>
      <c r="G408" s="566"/>
      <c r="H408" s="566"/>
      <c r="I408" s="567"/>
      <c r="J408" s="567"/>
      <c r="K408" s="564"/>
      <c r="L408" s="564"/>
      <c r="M408" s="564"/>
      <c r="N408" s="564"/>
      <c r="O408" s="564"/>
      <c r="P408" s="564"/>
      <c r="Q408" s="573"/>
      <c r="R408" s="557"/>
      <c r="S408" s="603">
        <f t="shared" si="71"/>
        <v>0</v>
      </c>
      <c r="T408" s="599">
        <f t="shared" si="72"/>
        <v>0</v>
      </c>
    </row>
    <row r="409" spans="1:20" ht="15">
      <c r="A409" s="1215"/>
      <c r="B409" s="564">
        <v>37</v>
      </c>
      <c r="C409" s="565"/>
      <c r="D409" s="564"/>
      <c r="E409" s="696"/>
      <c r="F409" s="566"/>
      <c r="G409" s="566"/>
      <c r="H409" s="566"/>
      <c r="I409" s="567"/>
      <c r="J409" s="567"/>
      <c r="K409" s="564"/>
      <c r="L409" s="564"/>
      <c r="M409" s="564"/>
      <c r="N409" s="564"/>
      <c r="O409" s="564"/>
      <c r="P409" s="564"/>
      <c r="Q409" s="573"/>
      <c r="R409" s="557"/>
      <c r="S409" s="603">
        <f t="shared" si="71"/>
        <v>0</v>
      </c>
      <c r="T409" s="599">
        <f t="shared" si="72"/>
        <v>0</v>
      </c>
    </row>
    <row r="410" spans="1:20" ht="15">
      <c r="A410" s="1215"/>
      <c r="B410" s="564">
        <v>38</v>
      </c>
      <c r="C410" s="565"/>
      <c r="D410" s="564"/>
      <c r="E410" s="696"/>
      <c r="F410" s="566"/>
      <c r="G410" s="566"/>
      <c r="H410" s="566"/>
      <c r="I410" s="567"/>
      <c r="J410" s="567"/>
      <c r="K410" s="564"/>
      <c r="L410" s="564"/>
      <c r="M410" s="564"/>
      <c r="N410" s="564"/>
      <c r="O410" s="564"/>
      <c r="P410" s="564"/>
      <c r="Q410" s="573"/>
      <c r="R410" s="557"/>
      <c r="S410" s="603">
        <f t="shared" si="71"/>
        <v>0</v>
      </c>
      <c r="T410" s="599">
        <f t="shared" si="72"/>
        <v>0</v>
      </c>
    </row>
    <row r="411" spans="1:20" ht="15">
      <c r="A411" s="1215"/>
      <c r="B411" s="564">
        <v>39</v>
      </c>
      <c r="C411" s="565"/>
      <c r="D411" s="564"/>
      <c r="E411" s="696"/>
      <c r="F411" s="566"/>
      <c r="G411" s="566"/>
      <c r="H411" s="566"/>
      <c r="I411" s="567"/>
      <c r="J411" s="567"/>
      <c r="K411" s="564"/>
      <c r="L411" s="564"/>
      <c r="M411" s="564"/>
      <c r="N411" s="564"/>
      <c r="O411" s="564"/>
      <c r="P411" s="564"/>
      <c r="Q411" s="573"/>
      <c r="R411" s="557"/>
      <c r="S411" s="603">
        <f t="shared" si="71"/>
        <v>0</v>
      </c>
      <c r="T411" s="599">
        <f t="shared" si="72"/>
        <v>0</v>
      </c>
    </row>
    <row r="412" spans="1:20" ht="15.75" thickBot="1">
      <c r="A412" s="1215"/>
      <c r="B412" s="564">
        <v>40</v>
      </c>
      <c r="C412" s="565"/>
      <c r="D412" s="564"/>
      <c r="E412" s="696"/>
      <c r="F412" s="566"/>
      <c r="G412" s="566"/>
      <c r="H412" s="566"/>
      <c r="I412" s="567"/>
      <c r="J412" s="567"/>
      <c r="K412" s="564"/>
      <c r="L412" s="564"/>
      <c r="M412" s="564"/>
      <c r="N412" s="564"/>
      <c r="O412" s="564"/>
      <c r="P412" s="564"/>
      <c r="Q412" s="573"/>
      <c r="R412" s="557"/>
      <c r="S412" s="604">
        <f t="shared" si="71"/>
        <v>0</v>
      </c>
      <c r="T412" s="600">
        <f t="shared" si="72"/>
        <v>0</v>
      </c>
    </row>
    <row r="413" spans="1:20" ht="15.75" thickBot="1">
      <c r="A413" s="1215"/>
      <c r="B413" s="576"/>
      <c r="C413" s="576"/>
      <c r="D413" s="576"/>
      <c r="E413" s="576"/>
      <c r="F413" s="576"/>
      <c r="G413" s="576"/>
      <c r="H413" s="576"/>
      <c r="I413" s="699"/>
      <c r="J413" s="699"/>
      <c r="K413" s="576"/>
      <c r="L413" s="576"/>
      <c r="M413" s="576"/>
      <c r="N413" s="576"/>
      <c r="O413" s="576"/>
      <c r="P413" s="576"/>
      <c r="Q413" s="576"/>
      <c r="R413" s="557"/>
    </row>
    <row r="414" spans="1:20" ht="15">
      <c r="A414" s="1215"/>
      <c r="B414" s="613"/>
      <c r="C414" s="614"/>
      <c r="D414" s="617" t="s">
        <v>968</v>
      </c>
      <c r="E414" s="700">
        <f>SUMPRODUCT(T373:T412,E373:E412)</f>
        <v>62380604</v>
      </c>
      <c r="F414" s="578"/>
      <c r="G414" s="578"/>
      <c r="H414" s="578"/>
      <c r="I414" s="579"/>
      <c r="J414" s="580"/>
      <c r="K414" s="581"/>
      <c r="L414" s="581"/>
      <c r="M414" s="581"/>
      <c r="N414" s="581"/>
      <c r="O414" s="581"/>
      <c r="P414" s="581"/>
      <c r="Q414" s="582"/>
      <c r="R414" s="185"/>
      <c r="S414" s="606">
        <f>SUM(S373:S412)</f>
        <v>4</v>
      </c>
      <c r="T414" s="606">
        <f>SUM(T373:T412)</f>
        <v>8</v>
      </c>
    </row>
    <row r="415" spans="1:20" ht="15.75" thickBot="1">
      <c r="A415" s="1215"/>
      <c r="B415" s="615"/>
      <c r="C415" s="616"/>
      <c r="D415" s="618" t="s">
        <v>969</v>
      </c>
      <c r="E415" s="701"/>
      <c r="F415" s="584">
        <f>IF($T414=0,0,(SUMPRODUCT($T373:$T412,F373:F412,$E373:$E412)/$E414))</f>
        <v>3.498858587518646</v>
      </c>
      <c r="G415" s="584">
        <f t="shared" ref="G415:H415" si="73">IF($T414=0,0,(SUMPRODUCT($T373:$T412,G373:G412,$E373:$E412)/$E414))</f>
        <v>3.6729148534695177</v>
      </c>
      <c r="H415" s="584">
        <f t="shared" si="73"/>
        <v>4.2523512116041706</v>
      </c>
      <c r="I415" s="585">
        <f t="shared" ref="I415:J415" si="74">IF($T414=0,0,(SUMPRODUCT($T373:$T412,I373:I412,$E373:$E412)/$E414))</f>
        <v>2.1196641953711071</v>
      </c>
      <c r="J415" s="585">
        <f t="shared" si="74"/>
        <v>1.3631676940329869</v>
      </c>
      <c r="K415" s="587">
        <f t="shared" ref="K415:Q415" si="75">IF($T414=0,0,(SUMPRODUCT($T373:$T412,K373:K412,$E373:$E412)/$E414))</f>
        <v>0.5</v>
      </c>
      <c r="L415" s="587">
        <f t="shared" si="75"/>
        <v>0.4</v>
      </c>
      <c r="M415" s="587">
        <f t="shared" si="75"/>
        <v>0.1</v>
      </c>
      <c r="N415" s="587">
        <f t="shared" si="75"/>
        <v>0</v>
      </c>
      <c r="O415" s="587">
        <f t="shared" si="75"/>
        <v>0</v>
      </c>
      <c r="P415" s="587">
        <f t="shared" si="75"/>
        <v>0</v>
      </c>
      <c r="Q415" s="588">
        <f t="shared" si="75"/>
        <v>0</v>
      </c>
      <c r="R415" s="185"/>
    </row>
    <row r="416" spans="1:20" ht="15">
      <c r="A416" s="1215"/>
      <c r="B416" s="613"/>
      <c r="C416" s="614"/>
      <c r="D416" s="617" t="s">
        <v>970</v>
      </c>
      <c r="E416" s="700">
        <f>SUMPRODUCT(S373:S412,E373:E412)</f>
        <v>2829236</v>
      </c>
      <c r="F416" s="578"/>
      <c r="G416" s="578"/>
      <c r="H416" s="578"/>
      <c r="I416" s="579"/>
      <c r="J416" s="589"/>
      <c r="K416" s="581"/>
      <c r="L416" s="581"/>
      <c r="M416" s="581"/>
      <c r="N416" s="581"/>
      <c r="O416" s="581"/>
      <c r="P416" s="581"/>
      <c r="Q416" s="582"/>
      <c r="R416" s="185"/>
    </row>
    <row r="417" spans="1:20" ht="15.75" thickBot="1">
      <c r="A417" s="1215"/>
      <c r="B417" s="615"/>
      <c r="C417" s="616"/>
      <c r="D417" s="618" t="s">
        <v>971</v>
      </c>
      <c r="E417" s="701"/>
      <c r="F417" s="584">
        <f>IF($S414=0,0,(SUMPRODUCT($S373:$S412,F373:F412,$E373:$E412)/$E416))</f>
        <v>2.5944834577249831</v>
      </c>
      <c r="G417" s="584">
        <f t="shared" ref="G417:H417" si="76">IF($S414=0,0,(SUMPRODUCT($S373:$S412,G373:G412,$E373:$E412)/$E416))</f>
        <v>3.0027261776677521</v>
      </c>
      <c r="H417" s="584">
        <f t="shared" si="76"/>
        <v>4.410238665137868</v>
      </c>
      <c r="I417" s="585">
        <f t="shared" ref="I417:J417" si="77">IF($S414=0,0,(SUMPRODUCT($S373:$S412,I373:I412,$E373:$E412)/$E416))</f>
        <v>2.1008128324132298</v>
      </c>
      <c r="J417" s="585">
        <f t="shared" si="77"/>
        <v>1.4147321820598777</v>
      </c>
      <c r="K417" s="587">
        <f t="shared" ref="K417:Q417" si="78">IF($S414=0,0,(SUMPRODUCT($S373:$S412,K373:K412,$E373:$E412)/$E416))</f>
        <v>0.5</v>
      </c>
      <c r="L417" s="587">
        <f t="shared" si="78"/>
        <v>0.39999999999999997</v>
      </c>
      <c r="M417" s="587">
        <f t="shared" si="78"/>
        <v>9.9999999999999992E-2</v>
      </c>
      <c r="N417" s="587">
        <f t="shared" si="78"/>
        <v>0</v>
      </c>
      <c r="O417" s="587">
        <f t="shared" si="78"/>
        <v>0</v>
      </c>
      <c r="P417" s="587">
        <f t="shared" si="78"/>
        <v>0</v>
      </c>
      <c r="Q417" s="588">
        <f t="shared" si="78"/>
        <v>0</v>
      </c>
      <c r="R417" s="185"/>
    </row>
    <row r="418" spans="1:20" ht="15">
      <c r="A418" s="1215"/>
      <c r="B418" s="613"/>
      <c r="C418" s="614"/>
      <c r="D418" s="617" t="s">
        <v>972</v>
      </c>
      <c r="E418" s="700">
        <f>SUM(E373:E412)</f>
        <v>65209840</v>
      </c>
      <c r="F418" s="578"/>
      <c r="G418" s="578"/>
      <c r="H418" s="578"/>
      <c r="I418" s="579"/>
      <c r="J418" s="580"/>
      <c r="K418" s="581"/>
      <c r="L418" s="581"/>
      <c r="M418" s="581"/>
      <c r="N418" s="581"/>
      <c r="O418" s="581"/>
      <c r="P418" s="581"/>
      <c r="Q418" s="582"/>
      <c r="R418" s="185"/>
    </row>
    <row r="419" spans="1:20" ht="15.75" thickBot="1">
      <c r="A419" s="1215"/>
      <c r="B419" s="615"/>
      <c r="C419" s="616"/>
      <c r="D419" s="618" t="s">
        <v>973</v>
      </c>
      <c r="E419" s="701"/>
      <c r="F419" s="584">
        <f>SUMPRODUCT($E373:$E412,F373:F412)/$E418</f>
        <v>3.4596207872922244</v>
      </c>
      <c r="G419" s="584">
        <f t="shared" ref="G419:H419" si="79">SUMPRODUCT($E373:$E412,G373:G412)/$E418</f>
        <v>3.643837617144897</v>
      </c>
      <c r="H419" s="584">
        <f t="shared" si="79"/>
        <v>4.2592014180681934</v>
      </c>
      <c r="I419" s="585">
        <f t="shared" ref="I419:J419" si="80">SUMPRODUCT($E373:$E412,I373:I412)/$E418</f>
        <v>2.1188462980303151</v>
      </c>
      <c r="J419" s="585">
        <f t="shared" si="80"/>
        <v>1.3654049040283993</v>
      </c>
      <c r="K419" s="801">
        <f t="shared" ref="K419:Q419" si="81">SUMPRODUCT($E373:$E412,K373:K412)/$E418</f>
        <v>0.5</v>
      </c>
      <c r="L419" s="801">
        <f t="shared" si="81"/>
        <v>0.4</v>
      </c>
      <c r="M419" s="801">
        <f t="shared" si="81"/>
        <v>0.1</v>
      </c>
      <c r="N419" s="801">
        <f t="shared" si="81"/>
        <v>0</v>
      </c>
      <c r="O419" s="587">
        <f t="shared" si="81"/>
        <v>0</v>
      </c>
      <c r="P419" s="587">
        <f t="shared" si="81"/>
        <v>0</v>
      </c>
      <c r="Q419" s="588">
        <f t="shared" si="81"/>
        <v>0</v>
      </c>
      <c r="R419" s="185"/>
    </row>
    <row r="420" spans="1:20" ht="15">
      <c r="A420" s="557"/>
      <c r="B420" s="557"/>
      <c r="C420" s="557"/>
      <c r="D420" s="557"/>
      <c r="E420" s="557"/>
      <c r="F420" s="557"/>
      <c r="G420" s="557"/>
      <c r="H420" s="557"/>
      <c r="I420" s="557"/>
      <c r="J420" s="590"/>
      <c r="K420" s="557"/>
      <c r="L420" s="557"/>
      <c r="M420" s="557"/>
      <c r="N420" s="557"/>
      <c r="O420" s="557"/>
      <c r="P420" s="557"/>
      <c r="Q420" s="557"/>
      <c r="R420" s="557"/>
    </row>
    <row r="421" spans="1:20" ht="15">
      <c r="A421" s="591"/>
      <c r="B421" s="554"/>
      <c r="C421" s="591"/>
      <c r="D421" s="591"/>
      <c r="E421" s="591"/>
      <c r="F421" s="591"/>
      <c r="G421" s="591"/>
      <c r="H421" s="591"/>
      <c r="I421" s="591"/>
      <c r="J421" s="591"/>
      <c r="K421" s="554"/>
      <c r="L421" s="591"/>
      <c r="M421" s="591"/>
      <c r="N421" s="591"/>
      <c r="O421" s="591"/>
      <c r="P421" s="591"/>
      <c r="Q421" s="591"/>
      <c r="R421" s="591"/>
    </row>
    <row r="422" spans="1:20" ht="15">
      <c r="A422" s="557"/>
      <c r="B422" s="799" t="s">
        <v>1173</v>
      </c>
      <c r="C422" s="800" t="s">
        <v>1192</v>
      </c>
      <c r="D422" s="557"/>
      <c r="E422" s="557"/>
      <c r="F422" s="557"/>
      <c r="G422" s="557"/>
      <c r="H422" s="557"/>
      <c r="I422" s="557"/>
      <c r="J422" s="557"/>
      <c r="K422" s="557"/>
      <c r="L422" s="557"/>
      <c r="M422" s="557"/>
      <c r="N422" s="557"/>
      <c r="O422" s="557"/>
      <c r="P422" s="557"/>
      <c r="Q422" s="557"/>
      <c r="R422" s="557"/>
    </row>
    <row r="423" spans="1:20" ht="15" customHeight="1" thickBot="1">
      <c r="A423" s="557"/>
      <c r="B423" s="799" t="s">
        <v>1174</v>
      </c>
      <c r="C423" s="800" t="s">
        <v>1202</v>
      </c>
      <c r="D423" s="557"/>
      <c r="E423" s="557"/>
      <c r="F423" s="608"/>
      <c r="G423" s="609" t="s">
        <v>173</v>
      </c>
      <c r="H423" s="609"/>
      <c r="I423" s="557"/>
      <c r="J423" s="557"/>
      <c r="K423" s="610"/>
      <c r="L423" s="611"/>
      <c r="M423" s="611" t="s">
        <v>954</v>
      </c>
      <c r="N423" s="611"/>
      <c r="O423" s="611"/>
      <c r="P423" s="611"/>
      <c r="Q423" s="612"/>
      <c r="R423" s="557"/>
    </row>
    <row r="424" spans="1:20" ht="60.75" thickBot="1">
      <c r="A424" s="1214" t="s">
        <v>1440</v>
      </c>
      <c r="B424" s="558" t="s">
        <v>955</v>
      </c>
      <c r="C424" s="559" t="s">
        <v>104</v>
      </c>
      <c r="D424" s="558" t="s">
        <v>769</v>
      </c>
      <c r="E424" s="558" t="s">
        <v>255</v>
      </c>
      <c r="F424" s="560" t="s">
        <v>956</v>
      </c>
      <c r="G424" s="560" t="s">
        <v>957</v>
      </c>
      <c r="H424" s="560" t="s">
        <v>958</v>
      </c>
      <c r="I424" s="561" t="s">
        <v>959</v>
      </c>
      <c r="J424" s="562" t="s">
        <v>960</v>
      </c>
      <c r="K424" s="562" t="s">
        <v>961</v>
      </c>
      <c r="L424" s="562" t="s">
        <v>962</v>
      </c>
      <c r="M424" s="562" t="s">
        <v>963</v>
      </c>
      <c r="N424" s="562" t="s">
        <v>964</v>
      </c>
      <c r="O424" s="562" t="s">
        <v>965</v>
      </c>
      <c r="P424" s="562" t="s">
        <v>966</v>
      </c>
      <c r="Q424" s="563" t="s">
        <v>967</v>
      </c>
      <c r="R424" s="557"/>
      <c r="S424" s="602" t="s">
        <v>771</v>
      </c>
      <c r="T424" s="601" t="s">
        <v>770</v>
      </c>
    </row>
    <row r="425" spans="1:20" ht="15">
      <c r="A425" s="1215"/>
      <c r="B425" s="564">
        <v>1</v>
      </c>
      <c r="C425" s="565" t="s">
        <v>1044</v>
      </c>
      <c r="D425" s="564" t="s">
        <v>770</v>
      </c>
      <c r="E425" s="696">
        <v>9483750</v>
      </c>
      <c r="F425" s="566">
        <v>4.9000000000000004</v>
      </c>
      <c r="G425" s="566">
        <v>4.9000000000000004</v>
      </c>
      <c r="H425" s="566">
        <v>4.9000000000000004</v>
      </c>
      <c r="I425" s="567">
        <v>2.6014241494118679</v>
      </c>
      <c r="J425" s="568">
        <v>1.6891138029720172</v>
      </c>
      <c r="K425" s="569">
        <v>0.25</v>
      </c>
      <c r="L425" s="569">
        <v>0.5</v>
      </c>
      <c r="M425" s="569">
        <v>0.25</v>
      </c>
      <c r="N425" s="569">
        <v>0</v>
      </c>
      <c r="O425" s="569"/>
      <c r="P425" s="569"/>
      <c r="Q425" s="570"/>
      <c r="R425" s="557"/>
      <c r="S425" s="603">
        <f>IF(D425="Commercial",1,0)</f>
        <v>0</v>
      </c>
      <c r="T425" s="599">
        <f>IF(D425="Residential",1,0)</f>
        <v>1</v>
      </c>
    </row>
    <row r="426" spans="1:20" ht="15">
      <c r="A426" s="1215"/>
      <c r="B426" s="564">
        <v>2</v>
      </c>
      <c r="C426" s="565" t="s">
        <v>1076</v>
      </c>
      <c r="D426" s="564" t="s">
        <v>770</v>
      </c>
      <c r="E426" s="696">
        <v>50000</v>
      </c>
      <c r="F426" s="566">
        <v>10</v>
      </c>
      <c r="G426" s="566">
        <v>10</v>
      </c>
      <c r="H426" s="566">
        <v>10</v>
      </c>
      <c r="I426" s="567">
        <v>2.1747396831740726</v>
      </c>
      <c r="J426" s="568">
        <v>1.3333567987466031</v>
      </c>
      <c r="K426" s="571">
        <v>0.46153846153846162</v>
      </c>
      <c r="L426" s="571">
        <v>0.5</v>
      </c>
      <c r="M426" s="571">
        <v>3.8461538461538464E-2</v>
      </c>
      <c r="N426" s="571">
        <v>0</v>
      </c>
      <c r="O426" s="571"/>
      <c r="P426" s="571"/>
      <c r="Q426" s="572"/>
      <c r="R426" s="557"/>
      <c r="S426" s="603">
        <f t="shared" ref="S426:S464" si="82">IF(D426="Commercial",1,0)</f>
        <v>0</v>
      </c>
      <c r="T426" s="599">
        <f t="shared" ref="T426:T464" si="83">IF(D426="Residential",1,0)</f>
        <v>1</v>
      </c>
    </row>
    <row r="427" spans="1:20" ht="15">
      <c r="A427" s="1215"/>
      <c r="B427" s="564">
        <v>3</v>
      </c>
      <c r="C427" s="565" t="s">
        <v>1086</v>
      </c>
      <c r="D427" s="564" t="s">
        <v>770</v>
      </c>
      <c r="E427" s="696">
        <v>45000</v>
      </c>
      <c r="F427" s="566">
        <v>11</v>
      </c>
      <c r="G427" s="566">
        <v>11</v>
      </c>
      <c r="H427" s="566">
        <v>11</v>
      </c>
      <c r="I427" s="567">
        <v>2.5339182573320693</v>
      </c>
      <c r="J427" s="568">
        <v>1.4830906068478693</v>
      </c>
      <c r="K427" s="571">
        <v>0.24489795918367338</v>
      </c>
      <c r="L427" s="571">
        <v>0.53061224489795922</v>
      </c>
      <c r="M427" s="571">
        <v>0.22448979591836735</v>
      </c>
      <c r="N427" s="571">
        <v>0</v>
      </c>
      <c r="O427" s="571"/>
      <c r="P427" s="571"/>
      <c r="Q427" s="572"/>
      <c r="R427" s="557"/>
      <c r="S427" s="603">
        <f t="shared" si="82"/>
        <v>0</v>
      </c>
      <c r="T427" s="599">
        <f t="shared" si="83"/>
        <v>1</v>
      </c>
    </row>
    <row r="428" spans="1:20" ht="15">
      <c r="A428" s="1215"/>
      <c r="B428" s="564">
        <v>4</v>
      </c>
      <c r="C428" s="565" t="s">
        <v>1087</v>
      </c>
      <c r="D428" s="564" t="s">
        <v>770</v>
      </c>
      <c r="E428" s="696">
        <v>4500</v>
      </c>
      <c r="F428" s="566">
        <v>11</v>
      </c>
      <c r="G428" s="566">
        <v>11</v>
      </c>
      <c r="H428" s="566">
        <v>11</v>
      </c>
      <c r="I428" s="567">
        <v>2.5339182573320693</v>
      </c>
      <c r="J428" s="568">
        <v>1.4830906068478693</v>
      </c>
      <c r="K428" s="571">
        <v>0.88888888888888884</v>
      </c>
      <c r="L428" s="571">
        <v>7.407407407407407E-2</v>
      </c>
      <c r="M428" s="571">
        <v>3.7037037037037035E-2</v>
      </c>
      <c r="N428" s="571">
        <v>0</v>
      </c>
      <c r="O428" s="571"/>
      <c r="P428" s="571"/>
      <c r="Q428" s="572"/>
      <c r="R428" s="557"/>
      <c r="S428" s="603">
        <f t="shared" si="82"/>
        <v>0</v>
      </c>
      <c r="T428" s="599">
        <f t="shared" si="83"/>
        <v>1</v>
      </c>
    </row>
    <row r="429" spans="1:20" ht="15">
      <c r="A429" s="1215"/>
      <c r="B429" s="564">
        <v>5</v>
      </c>
      <c r="C429" s="565"/>
      <c r="D429" s="564"/>
      <c r="E429" s="696"/>
      <c r="F429" s="566"/>
      <c r="G429" s="566"/>
      <c r="H429" s="566"/>
      <c r="I429" s="567"/>
      <c r="J429" s="568"/>
      <c r="K429" s="571"/>
      <c r="L429" s="571"/>
      <c r="M429" s="571"/>
      <c r="N429" s="571"/>
      <c r="O429" s="571"/>
      <c r="P429" s="571"/>
      <c r="Q429" s="572"/>
      <c r="R429" s="557"/>
      <c r="S429" s="603">
        <f t="shared" si="82"/>
        <v>0</v>
      </c>
      <c r="T429" s="599">
        <f t="shared" si="83"/>
        <v>0</v>
      </c>
    </row>
    <row r="430" spans="1:20" ht="15">
      <c r="A430" s="1215"/>
      <c r="B430" s="564">
        <v>6</v>
      </c>
      <c r="C430" s="565"/>
      <c r="D430" s="564"/>
      <c r="E430" s="696"/>
      <c r="F430" s="566"/>
      <c r="G430" s="566"/>
      <c r="H430" s="566"/>
      <c r="I430" s="567"/>
      <c r="J430" s="568"/>
      <c r="K430" s="571"/>
      <c r="L430" s="571"/>
      <c r="M430" s="571"/>
      <c r="N430" s="571"/>
      <c r="O430" s="571"/>
      <c r="P430" s="571"/>
      <c r="Q430" s="572"/>
      <c r="R430" s="557"/>
      <c r="S430" s="603">
        <f t="shared" si="82"/>
        <v>0</v>
      </c>
      <c r="T430" s="599">
        <f t="shared" si="83"/>
        <v>0</v>
      </c>
    </row>
    <row r="431" spans="1:20" ht="15">
      <c r="A431" s="1215"/>
      <c r="B431" s="564">
        <v>7</v>
      </c>
      <c r="C431" s="565"/>
      <c r="D431" s="564"/>
      <c r="E431" s="696"/>
      <c r="F431" s="566"/>
      <c r="G431" s="566"/>
      <c r="H431" s="566"/>
      <c r="I431" s="567"/>
      <c r="J431" s="568"/>
      <c r="K431" s="571"/>
      <c r="L431" s="571"/>
      <c r="M431" s="571"/>
      <c r="N431" s="571"/>
      <c r="O431" s="571"/>
      <c r="P431" s="571"/>
      <c r="Q431" s="572"/>
      <c r="R431" s="557"/>
      <c r="S431" s="603">
        <f t="shared" si="82"/>
        <v>0</v>
      </c>
      <c r="T431" s="599">
        <f t="shared" si="83"/>
        <v>0</v>
      </c>
    </row>
    <row r="432" spans="1:20" ht="15">
      <c r="A432" s="1215"/>
      <c r="B432" s="564">
        <v>8</v>
      </c>
      <c r="C432" s="565"/>
      <c r="D432" s="564"/>
      <c r="E432" s="696"/>
      <c r="F432" s="566"/>
      <c r="G432" s="566"/>
      <c r="H432" s="566"/>
      <c r="I432" s="567"/>
      <c r="J432" s="568"/>
      <c r="K432" s="571"/>
      <c r="L432" s="571"/>
      <c r="M432" s="571"/>
      <c r="N432" s="571"/>
      <c r="O432" s="571"/>
      <c r="P432" s="571"/>
      <c r="Q432" s="572"/>
      <c r="R432" s="557"/>
      <c r="S432" s="603">
        <f t="shared" si="82"/>
        <v>0</v>
      </c>
      <c r="T432" s="599">
        <f t="shared" si="83"/>
        <v>0</v>
      </c>
    </row>
    <row r="433" spans="1:20" ht="15">
      <c r="A433" s="1215"/>
      <c r="B433" s="564">
        <v>9</v>
      </c>
      <c r="C433" s="565"/>
      <c r="D433" s="564"/>
      <c r="E433" s="696"/>
      <c r="F433" s="566"/>
      <c r="G433" s="566"/>
      <c r="H433" s="566"/>
      <c r="I433" s="567"/>
      <c r="J433" s="568"/>
      <c r="K433" s="571"/>
      <c r="L433" s="571"/>
      <c r="M433" s="571"/>
      <c r="N433" s="571"/>
      <c r="O433" s="571"/>
      <c r="P433" s="571"/>
      <c r="Q433" s="572"/>
      <c r="R433" s="557"/>
      <c r="S433" s="603">
        <f t="shared" si="82"/>
        <v>0</v>
      </c>
      <c r="T433" s="599">
        <f t="shared" si="83"/>
        <v>0</v>
      </c>
    </row>
    <row r="434" spans="1:20" ht="15">
      <c r="A434" s="1215"/>
      <c r="B434" s="564">
        <v>10</v>
      </c>
      <c r="C434" s="565"/>
      <c r="D434" s="564"/>
      <c r="E434" s="696"/>
      <c r="F434" s="566"/>
      <c r="G434" s="566"/>
      <c r="H434" s="566"/>
      <c r="I434" s="567"/>
      <c r="J434" s="568"/>
      <c r="K434" s="571"/>
      <c r="L434" s="571"/>
      <c r="M434" s="571"/>
      <c r="N434" s="571"/>
      <c r="O434" s="571"/>
      <c r="P434" s="571"/>
      <c r="Q434" s="572"/>
      <c r="R434" s="557"/>
      <c r="S434" s="603">
        <f t="shared" si="82"/>
        <v>0</v>
      </c>
      <c r="T434" s="599">
        <f t="shared" si="83"/>
        <v>0</v>
      </c>
    </row>
    <row r="435" spans="1:20" ht="15">
      <c r="A435" s="1215"/>
      <c r="B435" s="564">
        <v>11</v>
      </c>
      <c r="C435" s="565"/>
      <c r="D435" s="564"/>
      <c r="E435" s="696"/>
      <c r="F435" s="566"/>
      <c r="G435" s="566"/>
      <c r="H435" s="566"/>
      <c r="I435" s="567"/>
      <c r="J435" s="568"/>
      <c r="K435" s="571"/>
      <c r="L435" s="571"/>
      <c r="M435" s="571"/>
      <c r="N435" s="571"/>
      <c r="O435" s="571"/>
      <c r="P435" s="571"/>
      <c r="Q435" s="572"/>
      <c r="R435" s="557"/>
      <c r="S435" s="603">
        <f t="shared" si="82"/>
        <v>0</v>
      </c>
      <c r="T435" s="599">
        <f t="shared" si="83"/>
        <v>0</v>
      </c>
    </row>
    <row r="436" spans="1:20" ht="15">
      <c r="A436" s="1215"/>
      <c r="B436" s="564">
        <v>12</v>
      </c>
      <c r="C436" s="565"/>
      <c r="D436" s="564"/>
      <c r="E436" s="696"/>
      <c r="F436" s="566"/>
      <c r="G436" s="566"/>
      <c r="H436" s="566"/>
      <c r="I436" s="567"/>
      <c r="J436" s="568"/>
      <c r="K436" s="571"/>
      <c r="L436" s="571"/>
      <c r="M436" s="571"/>
      <c r="N436" s="571"/>
      <c r="O436" s="571"/>
      <c r="P436" s="571"/>
      <c r="Q436" s="572"/>
      <c r="R436" s="557"/>
      <c r="S436" s="603">
        <f t="shared" si="82"/>
        <v>0</v>
      </c>
      <c r="T436" s="599">
        <f t="shared" si="83"/>
        <v>0</v>
      </c>
    </row>
    <row r="437" spans="1:20" ht="15">
      <c r="A437" s="1215"/>
      <c r="B437" s="564">
        <v>13</v>
      </c>
      <c r="C437" s="565"/>
      <c r="D437" s="564"/>
      <c r="E437" s="696"/>
      <c r="F437" s="566"/>
      <c r="G437" s="566"/>
      <c r="H437" s="566"/>
      <c r="I437" s="567"/>
      <c r="J437" s="568"/>
      <c r="K437" s="571"/>
      <c r="L437" s="571"/>
      <c r="M437" s="571"/>
      <c r="N437" s="571"/>
      <c r="O437" s="571"/>
      <c r="P437" s="571"/>
      <c r="Q437" s="572"/>
      <c r="R437" s="557"/>
      <c r="S437" s="603">
        <f t="shared" si="82"/>
        <v>0</v>
      </c>
      <c r="T437" s="599">
        <f t="shared" si="83"/>
        <v>0</v>
      </c>
    </row>
    <row r="438" spans="1:20" ht="15">
      <c r="A438" s="1215"/>
      <c r="B438" s="564">
        <v>14</v>
      </c>
      <c r="C438" s="565"/>
      <c r="D438" s="564"/>
      <c r="E438" s="696"/>
      <c r="F438" s="566"/>
      <c r="G438" s="566"/>
      <c r="H438" s="566"/>
      <c r="I438" s="567"/>
      <c r="J438" s="568"/>
      <c r="K438" s="571"/>
      <c r="L438" s="571"/>
      <c r="M438" s="571"/>
      <c r="N438" s="571"/>
      <c r="O438" s="571"/>
      <c r="P438" s="571"/>
      <c r="Q438" s="572"/>
      <c r="R438" s="557"/>
      <c r="S438" s="603">
        <f t="shared" si="82"/>
        <v>0</v>
      </c>
      <c r="T438" s="599">
        <f t="shared" si="83"/>
        <v>0</v>
      </c>
    </row>
    <row r="439" spans="1:20" ht="15">
      <c r="A439" s="1215"/>
      <c r="B439" s="564">
        <v>15</v>
      </c>
      <c r="C439" s="565"/>
      <c r="D439" s="564"/>
      <c r="E439" s="696"/>
      <c r="F439" s="566"/>
      <c r="G439" s="566"/>
      <c r="H439" s="566"/>
      <c r="I439" s="567"/>
      <c r="J439" s="568"/>
      <c r="K439" s="571"/>
      <c r="L439" s="571"/>
      <c r="M439" s="571"/>
      <c r="N439" s="571"/>
      <c r="O439" s="571"/>
      <c r="P439" s="571"/>
      <c r="Q439" s="572"/>
      <c r="R439" s="557"/>
      <c r="S439" s="603">
        <f t="shared" si="82"/>
        <v>0</v>
      </c>
      <c r="T439" s="599">
        <f t="shared" si="83"/>
        <v>0</v>
      </c>
    </row>
    <row r="440" spans="1:20" ht="15">
      <c r="A440" s="1215"/>
      <c r="B440" s="564">
        <v>16</v>
      </c>
      <c r="C440" s="565"/>
      <c r="D440" s="564"/>
      <c r="E440" s="696"/>
      <c r="F440" s="566"/>
      <c r="G440" s="566"/>
      <c r="H440" s="566"/>
      <c r="I440" s="567"/>
      <c r="J440" s="568"/>
      <c r="K440" s="571"/>
      <c r="L440" s="571"/>
      <c r="M440" s="571"/>
      <c r="N440" s="571"/>
      <c r="O440" s="571"/>
      <c r="P440" s="571"/>
      <c r="Q440" s="572"/>
      <c r="R440" s="557"/>
      <c r="S440" s="603">
        <f t="shared" si="82"/>
        <v>0</v>
      </c>
      <c r="T440" s="599">
        <f t="shared" si="83"/>
        <v>0</v>
      </c>
    </row>
    <row r="441" spans="1:20" ht="15">
      <c r="A441" s="1215"/>
      <c r="B441" s="564">
        <v>17</v>
      </c>
      <c r="C441" s="565"/>
      <c r="D441" s="564"/>
      <c r="E441" s="696"/>
      <c r="F441" s="566"/>
      <c r="G441" s="566"/>
      <c r="H441" s="566"/>
      <c r="I441" s="567"/>
      <c r="J441" s="567"/>
      <c r="K441" s="564"/>
      <c r="L441" s="564"/>
      <c r="M441" s="564"/>
      <c r="N441" s="564"/>
      <c r="O441" s="564"/>
      <c r="P441" s="564"/>
      <c r="Q441" s="573"/>
      <c r="R441" s="557"/>
      <c r="S441" s="603">
        <f t="shared" si="82"/>
        <v>0</v>
      </c>
      <c r="T441" s="599">
        <f t="shared" si="83"/>
        <v>0</v>
      </c>
    </row>
    <row r="442" spans="1:20" ht="15">
      <c r="A442" s="1215"/>
      <c r="B442" s="564">
        <v>18</v>
      </c>
      <c r="C442" s="565"/>
      <c r="D442" s="564"/>
      <c r="E442" s="696"/>
      <c r="F442" s="566"/>
      <c r="G442" s="566"/>
      <c r="H442" s="566"/>
      <c r="I442" s="567"/>
      <c r="J442" s="567"/>
      <c r="K442" s="564"/>
      <c r="L442" s="564"/>
      <c r="M442" s="564"/>
      <c r="N442" s="564"/>
      <c r="O442" s="564"/>
      <c r="P442" s="564"/>
      <c r="Q442" s="573"/>
      <c r="R442" s="557"/>
      <c r="S442" s="603">
        <f t="shared" si="82"/>
        <v>0</v>
      </c>
      <c r="T442" s="599">
        <f t="shared" si="83"/>
        <v>0</v>
      </c>
    </row>
    <row r="443" spans="1:20" ht="15">
      <c r="A443" s="1215"/>
      <c r="B443" s="564">
        <v>19</v>
      </c>
      <c r="C443" s="565"/>
      <c r="D443" s="564"/>
      <c r="E443" s="696"/>
      <c r="F443" s="566"/>
      <c r="G443" s="566"/>
      <c r="H443" s="566"/>
      <c r="I443" s="567"/>
      <c r="J443" s="567"/>
      <c r="K443" s="564"/>
      <c r="L443" s="564"/>
      <c r="M443" s="564"/>
      <c r="N443" s="564"/>
      <c r="O443" s="564"/>
      <c r="P443" s="564"/>
      <c r="Q443" s="573"/>
      <c r="R443" s="557"/>
      <c r="S443" s="603">
        <f t="shared" si="82"/>
        <v>0</v>
      </c>
      <c r="T443" s="599">
        <f t="shared" si="83"/>
        <v>0</v>
      </c>
    </row>
    <row r="444" spans="1:20" ht="15">
      <c r="A444" s="1215"/>
      <c r="B444" s="564">
        <v>20</v>
      </c>
      <c r="C444" s="565"/>
      <c r="D444" s="564"/>
      <c r="E444" s="696"/>
      <c r="F444" s="566"/>
      <c r="G444" s="566"/>
      <c r="H444" s="566"/>
      <c r="I444" s="567"/>
      <c r="J444" s="567"/>
      <c r="K444" s="564"/>
      <c r="L444" s="564"/>
      <c r="M444" s="564"/>
      <c r="N444" s="564"/>
      <c r="O444" s="564"/>
      <c r="P444" s="564"/>
      <c r="Q444" s="573"/>
      <c r="R444" s="557"/>
      <c r="S444" s="603">
        <f t="shared" si="82"/>
        <v>0</v>
      </c>
      <c r="T444" s="599">
        <f t="shared" si="83"/>
        <v>0</v>
      </c>
    </row>
    <row r="445" spans="1:20" ht="15">
      <c r="A445" s="1215"/>
      <c r="B445" s="564">
        <v>21</v>
      </c>
      <c r="C445" s="565"/>
      <c r="D445" s="564"/>
      <c r="E445" s="696"/>
      <c r="F445" s="566"/>
      <c r="G445" s="566"/>
      <c r="H445" s="566"/>
      <c r="I445" s="567"/>
      <c r="J445" s="567"/>
      <c r="K445" s="564"/>
      <c r="L445" s="564"/>
      <c r="M445" s="564"/>
      <c r="N445" s="564"/>
      <c r="O445" s="564"/>
      <c r="P445" s="564"/>
      <c r="Q445" s="573"/>
      <c r="R445" s="557"/>
      <c r="S445" s="603">
        <f t="shared" si="82"/>
        <v>0</v>
      </c>
      <c r="T445" s="599">
        <f t="shared" si="83"/>
        <v>0</v>
      </c>
    </row>
    <row r="446" spans="1:20" ht="15">
      <c r="A446" s="1215"/>
      <c r="B446" s="564">
        <v>22</v>
      </c>
      <c r="C446" s="565"/>
      <c r="D446" s="564"/>
      <c r="E446" s="696"/>
      <c r="F446" s="566"/>
      <c r="G446" s="566"/>
      <c r="H446" s="566"/>
      <c r="I446" s="567"/>
      <c r="J446" s="567"/>
      <c r="K446" s="564"/>
      <c r="L446" s="564"/>
      <c r="M446" s="564"/>
      <c r="N446" s="564"/>
      <c r="O446" s="564"/>
      <c r="P446" s="564"/>
      <c r="Q446" s="573"/>
      <c r="R446" s="557"/>
      <c r="S446" s="603">
        <f t="shared" si="82"/>
        <v>0</v>
      </c>
      <c r="T446" s="599">
        <f t="shared" si="83"/>
        <v>0</v>
      </c>
    </row>
    <row r="447" spans="1:20" ht="15">
      <c r="A447" s="1215"/>
      <c r="B447" s="564">
        <v>23</v>
      </c>
      <c r="C447" s="565"/>
      <c r="D447" s="564"/>
      <c r="E447" s="696"/>
      <c r="F447" s="566"/>
      <c r="G447" s="566"/>
      <c r="H447" s="566"/>
      <c r="I447" s="567"/>
      <c r="J447" s="567"/>
      <c r="K447" s="564"/>
      <c r="L447" s="564"/>
      <c r="M447" s="564"/>
      <c r="N447" s="564"/>
      <c r="O447" s="564"/>
      <c r="P447" s="564"/>
      <c r="Q447" s="573"/>
      <c r="R447" s="557"/>
      <c r="S447" s="603">
        <f t="shared" si="82"/>
        <v>0</v>
      </c>
      <c r="T447" s="599">
        <f t="shared" si="83"/>
        <v>0</v>
      </c>
    </row>
    <row r="448" spans="1:20" ht="15">
      <c r="A448" s="1215"/>
      <c r="B448" s="564">
        <v>24</v>
      </c>
      <c r="C448" s="565"/>
      <c r="D448" s="564"/>
      <c r="E448" s="696"/>
      <c r="F448" s="566"/>
      <c r="G448" s="566"/>
      <c r="H448" s="566"/>
      <c r="I448" s="567"/>
      <c r="J448" s="567"/>
      <c r="K448" s="564"/>
      <c r="L448" s="564"/>
      <c r="M448" s="564"/>
      <c r="N448" s="564"/>
      <c r="O448" s="564"/>
      <c r="P448" s="564"/>
      <c r="Q448" s="573"/>
      <c r="R448" s="557"/>
      <c r="S448" s="603">
        <f t="shared" si="82"/>
        <v>0</v>
      </c>
      <c r="T448" s="599">
        <f t="shared" si="83"/>
        <v>0</v>
      </c>
    </row>
    <row r="449" spans="1:20" ht="15">
      <c r="A449" s="1215"/>
      <c r="B449" s="564">
        <v>25</v>
      </c>
      <c r="C449" s="565"/>
      <c r="D449" s="564"/>
      <c r="E449" s="696"/>
      <c r="F449" s="566"/>
      <c r="G449" s="566"/>
      <c r="H449" s="566"/>
      <c r="I449" s="567"/>
      <c r="J449" s="567"/>
      <c r="K449" s="564"/>
      <c r="L449" s="564"/>
      <c r="M449" s="564"/>
      <c r="N449" s="564"/>
      <c r="O449" s="564"/>
      <c r="P449" s="564"/>
      <c r="Q449" s="573"/>
      <c r="R449" s="557"/>
      <c r="S449" s="603">
        <f t="shared" si="82"/>
        <v>0</v>
      </c>
      <c r="T449" s="599">
        <f t="shared" si="83"/>
        <v>0</v>
      </c>
    </row>
    <row r="450" spans="1:20" ht="15">
      <c r="A450" s="1215"/>
      <c r="B450" s="564">
        <v>26</v>
      </c>
      <c r="C450" s="565"/>
      <c r="D450" s="564"/>
      <c r="E450" s="697"/>
      <c r="F450" s="695"/>
      <c r="G450" s="695"/>
      <c r="H450" s="695"/>
      <c r="I450" s="693"/>
      <c r="J450" s="693"/>
      <c r="K450" s="574"/>
      <c r="L450" s="574"/>
      <c r="M450" s="574"/>
      <c r="N450" s="574"/>
      <c r="O450" s="574"/>
      <c r="P450" s="574"/>
      <c r="Q450" s="575"/>
      <c r="R450" s="557"/>
      <c r="S450" s="603">
        <f t="shared" si="82"/>
        <v>0</v>
      </c>
      <c r="T450" s="599">
        <f t="shared" si="83"/>
        <v>0</v>
      </c>
    </row>
    <row r="451" spans="1:20" ht="15">
      <c r="A451" s="1215"/>
      <c r="B451" s="564">
        <v>27</v>
      </c>
      <c r="C451" s="565"/>
      <c r="D451" s="564"/>
      <c r="E451" s="697"/>
      <c r="F451" s="695"/>
      <c r="G451" s="695"/>
      <c r="H451" s="695"/>
      <c r="I451" s="693"/>
      <c r="J451" s="693"/>
      <c r="K451" s="574"/>
      <c r="L451" s="574"/>
      <c r="M451" s="574"/>
      <c r="N451" s="574"/>
      <c r="O451" s="574"/>
      <c r="P451" s="574"/>
      <c r="Q451" s="575"/>
      <c r="R451" s="557"/>
      <c r="S451" s="603">
        <f t="shared" si="82"/>
        <v>0</v>
      </c>
      <c r="T451" s="599">
        <f t="shared" si="83"/>
        <v>0</v>
      </c>
    </row>
    <row r="452" spans="1:20" ht="15">
      <c r="A452" s="1215"/>
      <c r="B452" s="564">
        <v>28</v>
      </c>
      <c r="C452" s="565"/>
      <c r="D452" s="564"/>
      <c r="E452" s="697"/>
      <c r="F452" s="695"/>
      <c r="G452" s="695"/>
      <c r="H452" s="695"/>
      <c r="I452" s="693"/>
      <c r="J452" s="693"/>
      <c r="K452" s="574"/>
      <c r="L452" s="574"/>
      <c r="M452" s="574"/>
      <c r="N452" s="574"/>
      <c r="O452" s="574"/>
      <c r="P452" s="574"/>
      <c r="Q452" s="575"/>
      <c r="R452" s="557"/>
      <c r="S452" s="603">
        <f t="shared" si="82"/>
        <v>0</v>
      </c>
      <c r="T452" s="599">
        <f t="shared" si="83"/>
        <v>0</v>
      </c>
    </row>
    <row r="453" spans="1:20" ht="15">
      <c r="A453" s="1215"/>
      <c r="B453" s="564">
        <v>29</v>
      </c>
      <c r="C453" s="565"/>
      <c r="D453" s="564"/>
      <c r="E453" s="697"/>
      <c r="F453" s="695"/>
      <c r="G453" s="695"/>
      <c r="H453" s="695"/>
      <c r="I453" s="693"/>
      <c r="J453" s="693"/>
      <c r="K453" s="574"/>
      <c r="L453" s="574"/>
      <c r="M453" s="574"/>
      <c r="N453" s="574"/>
      <c r="O453" s="574"/>
      <c r="P453" s="574"/>
      <c r="Q453" s="575"/>
      <c r="R453" s="557"/>
      <c r="S453" s="603">
        <f t="shared" si="82"/>
        <v>0</v>
      </c>
      <c r="T453" s="599">
        <f t="shared" si="83"/>
        <v>0</v>
      </c>
    </row>
    <row r="454" spans="1:20" ht="15">
      <c r="A454" s="1215"/>
      <c r="B454" s="564">
        <v>30</v>
      </c>
      <c r="C454" s="565"/>
      <c r="D454" s="564"/>
      <c r="E454" s="697"/>
      <c r="F454" s="695"/>
      <c r="G454" s="695"/>
      <c r="H454" s="695"/>
      <c r="I454" s="693"/>
      <c r="J454" s="693"/>
      <c r="K454" s="574"/>
      <c r="L454" s="574"/>
      <c r="M454" s="574"/>
      <c r="N454" s="574"/>
      <c r="O454" s="574"/>
      <c r="P454" s="574"/>
      <c r="Q454" s="575"/>
      <c r="R454" s="557"/>
      <c r="S454" s="603">
        <f t="shared" si="82"/>
        <v>0</v>
      </c>
      <c r="T454" s="599">
        <f t="shared" si="83"/>
        <v>0</v>
      </c>
    </row>
    <row r="455" spans="1:20" ht="15">
      <c r="A455" s="1215"/>
      <c r="B455" s="564">
        <v>31</v>
      </c>
      <c r="C455" s="565"/>
      <c r="D455" s="564"/>
      <c r="E455" s="696"/>
      <c r="F455" s="566"/>
      <c r="G455" s="566"/>
      <c r="H455" s="566"/>
      <c r="I455" s="567"/>
      <c r="J455" s="567"/>
      <c r="K455" s="564"/>
      <c r="L455" s="564"/>
      <c r="M455" s="564"/>
      <c r="N455" s="564"/>
      <c r="O455" s="564"/>
      <c r="P455" s="564"/>
      <c r="Q455" s="573"/>
      <c r="R455" s="557"/>
      <c r="S455" s="603">
        <f t="shared" si="82"/>
        <v>0</v>
      </c>
      <c r="T455" s="599">
        <f t="shared" si="83"/>
        <v>0</v>
      </c>
    </row>
    <row r="456" spans="1:20" ht="15">
      <c r="A456" s="1215"/>
      <c r="B456" s="564">
        <v>32</v>
      </c>
      <c r="C456" s="565"/>
      <c r="D456" s="564"/>
      <c r="E456" s="696"/>
      <c r="F456" s="566"/>
      <c r="G456" s="566"/>
      <c r="H456" s="566"/>
      <c r="I456" s="567"/>
      <c r="J456" s="567"/>
      <c r="K456" s="564"/>
      <c r="L456" s="564"/>
      <c r="M456" s="564"/>
      <c r="N456" s="564"/>
      <c r="O456" s="564"/>
      <c r="P456" s="564"/>
      <c r="Q456" s="573"/>
      <c r="R456" s="557"/>
      <c r="S456" s="603">
        <f t="shared" si="82"/>
        <v>0</v>
      </c>
      <c r="T456" s="599">
        <f t="shared" si="83"/>
        <v>0</v>
      </c>
    </row>
    <row r="457" spans="1:20" ht="15">
      <c r="A457" s="1215"/>
      <c r="B457" s="564">
        <v>33</v>
      </c>
      <c r="C457" s="565"/>
      <c r="D457" s="564"/>
      <c r="E457" s="696"/>
      <c r="F457" s="566"/>
      <c r="G457" s="566"/>
      <c r="H457" s="566"/>
      <c r="I457" s="567"/>
      <c r="J457" s="567"/>
      <c r="K457" s="564"/>
      <c r="L457" s="564"/>
      <c r="M457" s="564"/>
      <c r="N457" s="564"/>
      <c r="O457" s="564"/>
      <c r="P457" s="564"/>
      <c r="Q457" s="573"/>
      <c r="R457" s="557"/>
      <c r="S457" s="603">
        <f t="shared" si="82"/>
        <v>0</v>
      </c>
      <c r="T457" s="599">
        <f t="shared" si="83"/>
        <v>0</v>
      </c>
    </row>
    <row r="458" spans="1:20" ht="15">
      <c r="A458" s="1215"/>
      <c r="B458" s="564">
        <v>34</v>
      </c>
      <c r="C458" s="565"/>
      <c r="D458" s="564"/>
      <c r="E458" s="696"/>
      <c r="F458" s="566"/>
      <c r="G458" s="566"/>
      <c r="H458" s="566"/>
      <c r="I458" s="567"/>
      <c r="J458" s="567"/>
      <c r="K458" s="564"/>
      <c r="L458" s="564"/>
      <c r="M458" s="564"/>
      <c r="N458" s="564"/>
      <c r="O458" s="564"/>
      <c r="P458" s="564"/>
      <c r="Q458" s="573"/>
      <c r="R458" s="557"/>
      <c r="S458" s="603">
        <f t="shared" si="82"/>
        <v>0</v>
      </c>
      <c r="T458" s="599">
        <f t="shared" si="83"/>
        <v>0</v>
      </c>
    </row>
    <row r="459" spans="1:20" ht="15">
      <c r="A459" s="1215"/>
      <c r="B459" s="564">
        <v>35</v>
      </c>
      <c r="C459" s="565"/>
      <c r="D459" s="564"/>
      <c r="E459" s="696"/>
      <c r="F459" s="566"/>
      <c r="G459" s="566"/>
      <c r="H459" s="566"/>
      <c r="I459" s="567"/>
      <c r="J459" s="567"/>
      <c r="K459" s="564"/>
      <c r="L459" s="564"/>
      <c r="M459" s="564"/>
      <c r="N459" s="564"/>
      <c r="O459" s="564"/>
      <c r="P459" s="564"/>
      <c r="Q459" s="573"/>
      <c r="R459" s="557"/>
      <c r="S459" s="603">
        <f t="shared" si="82"/>
        <v>0</v>
      </c>
      <c r="T459" s="599">
        <f t="shared" si="83"/>
        <v>0</v>
      </c>
    </row>
    <row r="460" spans="1:20" ht="15">
      <c r="A460" s="1215"/>
      <c r="B460" s="564">
        <v>36</v>
      </c>
      <c r="C460" s="565"/>
      <c r="D460" s="564"/>
      <c r="E460" s="696"/>
      <c r="F460" s="566"/>
      <c r="G460" s="566"/>
      <c r="H460" s="566"/>
      <c r="I460" s="567"/>
      <c r="J460" s="567"/>
      <c r="K460" s="564"/>
      <c r="L460" s="564"/>
      <c r="M460" s="564"/>
      <c r="N460" s="564"/>
      <c r="O460" s="564"/>
      <c r="P460" s="564"/>
      <c r="Q460" s="573"/>
      <c r="R460" s="557"/>
      <c r="S460" s="603">
        <f t="shared" si="82"/>
        <v>0</v>
      </c>
      <c r="T460" s="599">
        <f t="shared" si="83"/>
        <v>0</v>
      </c>
    </row>
    <row r="461" spans="1:20" ht="15">
      <c r="A461" s="1215"/>
      <c r="B461" s="564">
        <v>37</v>
      </c>
      <c r="C461" s="565"/>
      <c r="D461" s="564"/>
      <c r="E461" s="696"/>
      <c r="F461" s="566"/>
      <c r="G461" s="566"/>
      <c r="H461" s="566"/>
      <c r="I461" s="567"/>
      <c r="J461" s="567"/>
      <c r="K461" s="564"/>
      <c r="L461" s="564"/>
      <c r="M461" s="564"/>
      <c r="N461" s="564"/>
      <c r="O461" s="564"/>
      <c r="P461" s="564"/>
      <c r="Q461" s="573"/>
      <c r="R461" s="557"/>
      <c r="S461" s="603">
        <f t="shared" si="82"/>
        <v>0</v>
      </c>
      <c r="T461" s="599">
        <f t="shared" si="83"/>
        <v>0</v>
      </c>
    </row>
    <row r="462" spans="1:20" ht="15">
      <c r="A462" s="1215"/>
      <c r="B462" s="564">
        <v>38</v>
      </c>
      <c r="C462" s="565"/>
      <c r="D462" s="564"/>
      <c r="E462" s="696"/>
      <c r="F462" s="566"/>
      <c r="G462" s="566"/>
      <c r="H462" s="566"/>
      <c r="I462" s="567"/>
      <c r="J462" s="567"/>
      <c r="K462" s="564"/>
      <c r="L462" s="564"/>
      <c r="M462" s="564"/>
      <c r="N462" s="564"/>
      <c r="O462" s="564"/>
      <c r="P462" s="564"/>
      <c r="Q462" s="573"/>
      <c r="R462" s="557"/>
      <c r="S462" s="603">
        <f t="shared" si="82"/>
        <v>0</v>
      </c>
      <c r="T462" s="599">
        <f t="shared" si="83"/>
        <v>0</v>
      </c>
    </row>
    <row r="463" spans="1:20" ht="15">
      <c r="A463" s="1215"/>
      <c r="B463" s="564">
        <v>39</v>
      </c>
      <c r="C463" s="565"/>
      <c r="D463" s="564"/>
      <c r="E463" s="696"/>
      <c r="F463" s="566"/>
      <c r="G463" s="566"/>
      <c r="H463" s="566"/>
      <c r="I463" s="567"/>
      <c r="J463" s="567"/>
      <c r="K463" s="564"/>
      <c r="L463" s="564"/>
      <c r="M463" s="564"/>
      <c r="N463" s="564"/>
      <c r="O463" s="564"/>
      <c r="P463" s="564"/>
      <c r="Q463" s="573"/>
      <c r="R463" s="557"/>
      <c r="S463" s="603">
        <f t="shared" si="82"/>
        <v>0</v>
      </c>
      <c r="T463" s="599">
        <f t="shared" si="83"/>
        <v>0</v>
      </c>
    </row>
    <row r="464" spans="1:20" ht="15.75" thickBot="1">
      <c r="A464" s="1215"/>
      <c r="B464" s="564">
        <v>40</v>
      </c>
      <c r="C464" s="565"/>
      <c r="D464" s="564"/>
      <c r="E464" s="696"/>
      <c r="F464" s="566"/>
      <c r="G464" s="566"/>
      <c r="H464" s="566"/>
      <c r="I464" s="567"/>
      <c r="J464" s="567"/>
      <c r="K464" s="564"/>
      <c r="L464" s="564"/>
      <c r="M464" s="564"/>
      <c r="N464" s="564"/>
      <c r="O464" s="564"/>
      <c r="P464" s="564"/>
      <c r="Q464" s="573"/>
      <c r="R464" s="557"/>
      <c r="S464" s="604">
        <f t="shared" si="82"/>
        <v>0</v>
      </c>
      <c r="T464" s="600">
        <f t="shared" si="83"/>
        <v>0</v>
      </c>
    </row>
    <row r="465" spans="1:20" ht="15.75" thickBot="1">
      <c r="A465" s="1215"/>
      <c r="B465" s="576"/>
      <c r="C465" s="576"/>
      <c r="D465" s="576"/>
      <c r="E465" s="576"/>
      <c r="F465" s="576"/>
      <c r="G465" s="576"/>
      <c r="H465" s="576"/>
      <c r="I465" s="699"/>
      <c r="J465" s="699"/>
      <c r="K465" s="576"/>
      <c r="L465" s="576"/>
      <c r="M465" s="576"/>
      <c r="N465" s="576"/>
      <c r="O465" s="576"/>
      <c r="P465" s="576"/>
      <c r="Q465" s="576"/>
      <c r="R465" s="557"/>
    </row>
    <row r="466" spans="1:20" ht="15">
      <c r="A466" s="1215"/>
      <c r="B466" s="613"/>
      <c r="C466" s="614"/>
      <c r="D466" s="617" t="s">
        <v>968</v>
      </c>
      <c r="E466" s="700">
        <f>SUMPRODUCT(T425:T464,E425:E464)</f>
        <v>9583250</v>
      </c>
      <c r="F466" s="578"/>
      <c r="G466" s="578"/>
      <c r="H466" s="578"/>
      <c r="I466" s="579"/>
      <c r="J466" s="580"/>
      <c r="K466" s="580"/>
      <c r="L466" s="580"/>
      <c r="M466" s="580"/>
      <c r="N466" s="580"/>
      <c r="O466" s="580"/>
      <c r="P466" s="580"/>
      <c r="Q466" s="580"/>
      <c r="R466" s="185"/>
      <c r="S466" s="606">
        <f>SUM(S425:S464)</f>
        <v>0</v>
      </c>
      <c r="T466" s="606">
        <f>SUM(T425:T464)</f>
        <v>4</v>
      </c>
    </row>
    <row r="467" spans="1:20" ht="15.75" thickBot="1">
      <c r="A467" s="1215"/>
      <c r="B467" s="615"/>
      <c r="C467" s="616"/>
      <c r="D467" s="618" t="s">
        <v>969</v>
      </c>
      <c r="E467" s="701"/>
      <c r="F467" s="584">
        <f>IF($T466=0,0,(SUMPRODUCT($T425:$T464,F425:F464,$E425:$E464)/$E466))</f>
        <v>4.9581170271045831</v>
      </c>
      <c r="G467" s="584">
        <f t="shared" ref="G467:H467" si="84">IF($T466=0,0,(SUMPRODUCT($T425:$T464,G425:G464,$E425:$E464)/$E466))</f>
        <v>4.9581170271045831</v>
      </c>
      <c r="H467" s="584">
        <f t="shared" si="84"/>
        <v>4.9581170271045831</v>
      </c>
      <c r="I467" s="585">
        <f t="shared" ref="I467:J467" si="85">IF($T466=0,0,(SUMPRODUCT($T425:$T464,I425:I464,$E425:$E464)/$E466))</f>
        <v>2.5988492645899295</v>
      </c>
      <c r="J467" s="585">
        <f t="shared" si="85"/>
        <v>1.6861934994821346</v>
      </c>
      <c r="K467" s="585">
        <f t="shared" ref="K467:Q467" si="86">IF($T466=0,0,(SUMPRODUCT($T425:$T464,K425:K464,$E425:$E464)/$E466))</f>
        <v>0.2513797335183981</v>
      </c>
      <c r="L467" s="585">
        <f t="shared" si="86"/>
        <v>0.49994374396512048</v>
      </c>
      <c r="M467" s="585">
        <f t="shared" si="86"/>
        <v>0.24867652251648137</v>
      </c>
      <c r="N467" s="585">
        <f t="shared" si="86"/>
        <v>0</v>
      </c>
      <c r="O467" s="585">
        <f t="shared" si="86"/>
        <v>0</v>
      </c>
      <c r="P467" s="585">
        <f t="shared" si="86"/>
        <v>0</v>
      </c>
      <c r="Q467" s="585">
        <f t="shared" si="86"/>
        <v>0</v>
      </c>
      <c r="R467" s="185"/>
    </row>
    <row r="468" spans="1:20" ht="15">
      <c r="A468" s="1215"/>
      <c r="B468" s="613"/>
      <c r="C468" s="614"/>
      <c r="D468" s="617" t="s">
        <v>970</v>
      </c>
      <c r="E468" s="700">
        <f>SUMPRODUCT(S425:S464,E425:E464)</f>
        <v>0</v>
      </c>
      <c r="F468" s="578"/>
      <c r="G468" s="578"/>
      <c r="H468" s="578"/>
      <c r="I468" s="579"/>
      <c r="J468" s="589"/>
      <c r="K468" s="589"/>
      <c r="L468" s="589"/>
      <c r="M468" s="589"/>
      <c r="N468" s="589"/>
      <c r="O468" s="589"/>
      <c r="P468" s="589"/>
      <c r="Q468" s="589"/>
      <c r="R468" s="185"/>
    </row>
    <row r="469" spans="1:20" ht="15.75" thickBot="1">
      <c r="A469" s="1215"/>
      <c r="B469" s="615"/>
      <c r="C469" s="616"/>
      <c r="D469" s="618" t="s">
        <v>971</v>
      </c>
      <c r="E469" s="701"/>
      <c r="F469" s="584">
        <f>IF($S466=0,0,(SUMPRODUCT($S425:$S464,F425:F464,$E425:$E464)/$E468))</f>
        <v>0</v>
      </c>
      <c r="G469" s="584">
        <f t="shared" ref="G469:H469" si="87">IF($S466=0,0,(SUMPRODUCT($S425:$S464,G425:G464,$E425:$E464)/$E468))</f>
        <v>0</v>
      </c>
      <c r="H469" s="584">
        <f t="shared" si="87"/>
        <v>0</v>
      </c>
      <c r="I469" s="585">
        <f t="shared" ref="I469:J469" si="88">IF($S466=0,0,(SUMPRODUCT($S425:$S464,I425:I464,$E425:$E464)/$E468))</f>
        <v>0</v>
      </c>
      <c r="J469" s="585">
        <f t="shared" si="88"/>
        <v>0</v>
      </c>
      <c r="K469" s="585">
        <f t="shared" ref="K469:Q469" si="89">IF($S466=0,0,(SUMPRODUCT($S425:$S464,K425:K464,$E425:$E464)/$E468))</f>
        <v>0</v>
      </c>
      <c r="L469" s="585">
        <f t="shared" si="89"/>
        <v>0</v>
      </c>
      <c r="M469" s="585">
        <f t="shared" si="89"/>
        <v>0</v>
      </c>
      <c r="N469" s="585">
        <f t="shared" si="89"/>
        <v>0</v>
      </c>
      <c r="O469" s="585">
        <f t="shared" si="89"/>
        <v>0</v>
      </c>
      <c r="P469" s="585">
        <f t="shared" si="89"/>
        <v>0</v>
      </c>
      <c r="Q469" s="585">
        <f t="shared" si="89"/>
        <v>0</v>
      </c>
      <c r="R469" s="185"/>
    </row>
    <row r="470" spans="1:20" ht="15">
      <c r="A470" s="1215"/>
      <c r="B470" s="613"/>
      <c r="C470" s="614"/>
      <c r="D470" s="617" t="s">
        <v>972</v>
      </c>
      <c r="E470" s="700">
        <f>SUM(E425:E464)</f>
        <v>9583250</v>
      </c>
      <c r="F470" s="578"/>
      <c r="G470" s="578"/>
      <c r="H470" s="578"/>
      <c r="I470" s="579"/>
      <c r="J470" s="580"/>
      <c r="K470" s="580"/>
      <c r="L470" s="580"/>
      <c r="M470" s="580"/>
      <c r="N470" s="580"/>
      <c r="O470" s="580"/>
      <c r="P470" s="580"/>
      <c r="Q470" s="580"/>
      <c r="R470" s="185"/>
    </row>
    <row r="471" spans="1:20" ht="15.75" thickBot="1">
      <c r="A471" s="1215"/>
      <c r="B471" s="615"/>
      <c r="C471" s="616"/>
      <c r="D471" s="618" t="s">
        <v>973</v>
      </c>
      <c r="E471" s="701"/>
      <c r="F471" s="584">
        <f>SUMPRODUCT($E425:$E464,F425:F464)/$E470</f>
        <v>4.9581170271045831</v>
      </c>
      <c r="G471" s="584">
        <f t="shared" ref="G471:H471" si="90">SUMPRODUCT($E425:$E464,G425:G464)/$E470</f>
        <v>4.9581170271045831</v>
      </c>
      <c r="H471" s="584">
        <f t="shared" si="90"/>
        <v>4.9581170271045831</v>
      </c>
      <c r="I471" s="585">
        <f t="shared" ref="I471:J471" si="91">SUMPRODUCT($E425:$E464,I425:I464)/$E470</f>
        <v>2.5988492645899295</v>
      </c>
      <c r="J471" s="585">
        <f t="shared" si="91"/>
        <v>1.6861934994821346</v>
      </c>
      <c r="K471" s="801">
        <f t="shared" ref="K471:Q471" si="92">SUMPRODUCT($E425:$E464,K425:K464)/$E470</f>
        <v>0.2513797335183981</v>
      </c>
      <c r="L471" s="801">
        <f t="shared" si="92"/>
        <v>0.49994374396512048</v>
      </c>
      <c r="M471" s="801">
        <f t="shared" si="92"/>
        <v>0.24867652251648137</v>
      </c>
      <c r="N471" s="801">
        <f t="shared" si="92"/>
        <v>0</v>
      </c>
      <c r="O471" s="801">
        <f t="shared" si="92"/>
        <v>0</v>
      </c>
      <c r="P471" s="585">
        <f t="shared" si="92"/>
        <v>0</v>
      </c>
      <c r="Q471" s="585">
        <f t="shared" si="92"/>
        <v>0</v>
      </c>
      <c r="R471" s="185"/>
    </row>
    <row r="472" spans="1:20" ht="15">
      <c r="A472" s="557"/>
      <c r="B472" s="557"/>
      <c r="C472" s="557"/>
      <c r="D472" s="557"/>
      <c r="E472" s="557"/>
      <c r="F472" s="557"/>
      <c r="G472" s="557"/>
      <c r="H472" s="557"/>
      <c r="I472" s="557"/>
      <c r="J472" s="590"/>
      <c r="K472" s="557"/>
      <c r="L472" s="557"/>
      <c r="M472" s="557"/>
      <c r="N472" s="557"/>
      <c r="O472" s="557"/>
      <c r="P472" s="557"/>
      <c r="Q472" s="557"/>
      <c r="R472" s="557"/>
    </row>
    <row r="473" spans="1:20" ht="15">
      <c r="A473" s="591"/>
      <c r="B473" s="554"/>
      <c r="C473" s="591"/>
      <c r="D473" s="591"/>
      <c r="E473" s="591"/>
      <c r="F473" s="591"/>
      <c r="G473" s="591"/>
      <c r="H473" s="591"/>
      <c r="I473" s="591"/>
      <c r="J473" s="591"/>
      <c r="K473" s="554"/>
      <c r="L473" s="591"/>
      <c r="M473" s="591"/>
      <c r="N473" s="591"/>
      <c r="O473" s="591"/>
      <c r="P473" s="591"/>
      <c r="Q473" s="591"/>
      <c r="R473" s="591"/>
    </row>
    <row r="474" spans="1:20" ht="15">
      <c r="A474" s="557"/>
      <c r="B474" s="799" t="s">
        <v>1173</v>
      </c>
      <c r="C474" s="800" t="s">
        <v>1190</v>
      </c>
      <c r="D474" s="557"/>
      <c r="E474" s="557"/>
      <c r="F474" s="557"/>
      <c r="G474" s="557"/>
      <c r="H474" s="557"/>
      <c r="I474" s="557"/>
      <c r="J474" s="557"/>
      <c r="K474" s="557"/>
      <c r="L474" s="557"/>
      <c r="M474" s="557"/>
      <c r="N474" s="557"/>
      <c r="O474" s="557"/>
      <c r="P474" s="557"/>
      <c r="Q474" s="557"/>
      <c r="R474" s="557"/>
    </row>
    <row r="475" spans="1:20" ht="15" customHeight="1" thickBot="1">
      <c r="A475" s="557"/>
      <c r="B475" s="799" t="s">
        <v>1174</v>
      </c>
      <c r="C475" s="800" t="s">
        <v>1191</v>
      </c>
      <c r="D475" s="557"/>
      <c r="E475" s="557"/>
      <c r="F475" s="608"/>
      <c r="G475" s="609" t="s">
        <v>173</v>
      </c>
      <c r="H475" s="609"/>
      <c r="I475" s="557"/>
      <c r="J475" s="557"/>
      <c r="K475" s="610"/>
      <c r="L475" s="611"/>
      <c r="M475" s="611" t="s">
        <v>954</v>
      </c>
      <c r="N475" s="611"/>
      <c r="O475" s="611"/>
      <c r="P475" s="611"/>
      <c r="Q475" s="612"/>
      <c r="R475" s="557"/>
    </row>
    <row r="476" spans="1:20" ht="60.75" thickBot="1">
      <c r="A476" s="1214" t="s">
        <v>1441</v>
      </c>
      <c r="B476" s="558" t="s">
        <v>955</v>
      </c>
      <c r="C476" s="559" t="s">
        <v>104</v>
      </c>
      <c r="D476" s="558" t="s">
        <v>769</v>
      </c>
      <c r="E476" s="558" t="s">
        <v>255</v>
      </c>
      <c r="F476" s="560" t="s">
        <v>956</v>
      </c>
      <c r="G476" s="560" t="s">
        <v>957</v>
      </c>
      <c r="H476" s="560" t="s">
        <v>958</v>
      </c>
      <c r="I476" s="561" t="s">
        <v>959</v>
      </c>
      <c r="J476" s="562" t="s">
        <v>960</v>
      </c>
      <c r="K476" s="562" t="s">
        <v>961</v>
      </c>
      <c r="L476" s="562" t="s">
        <v>962</v>
      </c>
      <c r="M476" s="562" t="s">
        <v>963</v>
      </c>
      <c r="N476" s="562" t="s">
        <v>964</v>
      </c>
      <c r="O476" s="562" t="s">
        <v>965</v>
      </c>
      <c r="P476" s="562" t="s">
        <v>966</v>
      </c>
      <c r="Q476" s="563" t="s">
        <v>967</v>
      </c>
      <c r="R476" s="557"/>
      <c r="S476" s="602" t="s">
        <v>771</v>
      </c>
      <c r="T476" s="601" t="s">
        <v>770</v>
      </c>
    </row>
    <row r="477" spans="1:20" ht="15">
      <c r="A477" s="1215"/>
      <c r="B477" s="564">
        <v>1</v>
      </c>
      <c r="C477" s="565" t="s">
        <v>1036</v>
      </c>
      <c r="D477" s="564" t="s">
        <v>770</v>
      </c>
      <c r="E477" s="696">
        <v>5064000</v>
      </c>
      <c r="F477" s="566">
        <v>7.3</v>
      </c>
      <c r="G477" s="566">
        <v>7.3</v>
      </c>
      <c r="H477" s="566">
        <v>7.3</v>
      </c>
      <c r="I477" s="567">
        <v>2.0064940180697994</v>
      </c>
      <c r="J477" s="568">
        <v>1.3471129136843367</v>
      </c>
      <c r="K477" s="569">
        <v>0.87</v>
      </c>
      <c r="L477" s="569">
        <v>0</v>
      </c>
      <c r="M477" s="569">
        <v>0</v>
      </c>
      <c r="N477" s="569">
        <v>0.13</v>
      </c>
      <c r="O477" s="569"/>
      <c r="P477" s="569"/>
      <c r="Q477" s="570"/>
      <c r="R477" s="557"/>
      <c r="S477" s="603">
        <f>IF(D477="Commercial",1,0)</f>
        <v>0</v>
      </c>
      <c r="T477" s="599">
        <f>IF(D477="Residential",1,0)</f>
        <v>1</v>
      </c>
    </row>
    <row r="478" spans="1:20" ht="15">
      <c r="A478" s="1215"/>
      <c r="B478" s="564">
        <v>2</v>
      </c>
      <c r="C478" s="565" t="s">
        <v>1106</v>
      </c>
      <c r="D478" s="564" t="s">
        <v>771</v>
      </c>
      <c r="E478" s="696">
        <v>2936000</v>
      </c>
      <c r="F478" s="566">
        <v>7.3</v>
      </c>
      <c r="G478" s="566">
        <v>7.3</v>
      </c>
      <c r="H478" s="566">
        <v>7.3</v>
      </c>
      <c r="I478" s="567">
        <v>2.0064940180697994</v>
      </c>
      <c r="J478" s="568">
        <v>1.3471129136843367</v>
      </c>
      <c r="K478" s="571">
        <v>0.87</v>
      </c>
      <c r="L478" s="571">
        <v>0</v>
      </c>
      <c r="M478" s="571">
        <v>0</v>
      </c>
      <c r="N478" s="571">
        <v>0.13</v>
      </c>
      <c r="O478" s="571"/>
      <c r="P478" s="571"/>
      <c r="Q478" s="572"/>
      <c r="R478" s="557"/>
      <c r="S478" s="603">
        <f t="shared" ref="S478:S516" si="93">IF(D478="Commercial",1,0)</f>
        <v>1</v>
      </c>
      <c r="T478" s="599">
        <f t="shared" ref="T478:T516" si="94">IF(D478="Residential",1,0)</f>
        <v>0</v>
      </c>
    </row>
    <row r="479" spans="1:20" ht="15">
      <c r="A479" s="1215"/>
      <c r="B479" s="564">
        <v>3</v>
      </c>
      <c r="C479" s="565"/>
      <c r="D479" s="564"/>
      <c r="E479" s="696"/>
      <c r="F479" s="566"/>
      <c r="G479" s="566"/>
      <c r="H479" s="566"/>
      <c r="I479" s="567"/>
      <c r="J479" s="568"/>
      <c r="K479" s="571"/>
      <c r="L479" s="571"/>
      <c r="M479" s="571"/>
      <c r="N479" s="571"/>
      <c r="O479" s="571"/>
      <c r="P479" s="571"/>
      <c r="Q479" s="572"/>
      <c r="R479" s="557"/>
      <c r="S479" s="603">
        <f t="shared" si="93"/>
        <v>0</v>
      </c>
      <c r="T479" s="599">
        <f t="shared" si="94"/>
        <v>0</v>
      </c>
    </row>
    <row r="480" spans="1:20" ht="15">
      <c r="A480" s="1215"/>
      <c r="B480" s="564">
        <v>4</v>
      </c>
      <c r="C480" s="565"/>
      <c r="D480" s="564"/>
      <c r="E480" s="696"/>
      <c r="F480" s="566"/>
      <c r="G480" s="566"/>
      <c r="H480" s="566"/>
      <c r="I480" s="567"/>
      <c r="J480" s="568"/>
      <c r="K480" s="571"/>
      <c r="L480" s="571"/>
      <c r="M480" s="571"/>
      <c r="N480" s="571"/>
      <c r="O480" s="571"/>
      <c r="P480" s="571"/>
      <c r="Q480" s="572"/>
      <c r="R480" s="557"/>
      <c r="S480" s="603">
        <f t="shared" si="93"/>
        <v>0</v>
      </c>
      <c r="T480" s="599">
        <f t="shared" si="94"/>
        <v>0</v>
      </c>
    </row>
    <row r="481" spans="1:20" ht="15">
      <c r="A481" s="1215"/>
      <c r="B481" s="564">
        <v>5</v>
      </c>
      <c r="C481" s="565"/>
      <c r="D481" s="564"/>
      <c r="E481" s="696"/>
      <c r="F481" s="566"/>
      <c r="G481" s="566"/>
      <c r="H481" s="566"/>
      <c r="I481" s="567"/>
      <c r="J481" s="568"/>
      <c r="K481" s="571"/>
      <c r="L481" s="571"/>
      <c r="M481" s="571"/>
      <c r="N481" s="571"/>
      <c r="O481" s="571"/>
      <c r="P481" s="571"/>
      <c r="Q481" s="572"/>
      <c r="R481" s="557"/>
      <c r="S481" s="603">
        <f t="shared" si="93"/>
        <v>0</v>
      </c>
      <c r="T481" s="599">
        <f t="shared" si="94"/>
        <v>0</v>
      </c>
    </row>
    <row r="482" spans="1:20" ht="15">
      <c r="A482" s="1215"/>
      <c r="B482" s="564">
        <v>6</v>
      </c>
      <c r="C482" s="565"/>
      <c r="D482" s="564"/>
      <c r="E482" s="696"/>
      <c r="F482" s="566"/>
      <c r="G482" s="566"/>
      <c r="H482" s="566"/>
      <c r="I482" s="567"/>
      <c r="J482" s="568"/>
      <c r="K482" s="571"/>
      <c r="L482" s="571"/>
      <c r="M482" s="571"/>
      <c r="N482" s="571"/>
      <c r="O482" s="571"/>
      <c r="P482" s="571"/>
      <c r="Q482" s="572"/>
      <c r="R482" s="557"/>
      <c r="S482" s="603">
        <f t="shared" si="93"/>
        <v>0</v>
      </c>
      <c r="T482" s="599">
        <f t="shared" si="94"/>
        <v>0</v>
      </c>
    </row>
    <row r="483" spans="1:20" ht="15">
      <c r="A483" s="1215"/>
      <c r="B483" s="564">
        <v>7</v>
      </c>
      <c r="C483" s="565"/>
      <c r="D483" s="564"/>
      <c r="E483" s="696"/>
      <c r="F483" s="566"/>
      <c r="G483" s="566"/>
      <c r="H483" s="566"/>
      <c r="I483" s="567"/>
      <c r="J483" s="568"/>
      <c r="K483" s="571"/>
      <c r="L483" s="571"/>
      <c r="M483" s="571"/>
      <c r="N483" s="571"/>
      <c r="O483" s="571"/>
      <c r="P483" s="571"/>
      <c r="Q483" s="572"/>
      <c r="R483" s="557"/>
      <c r="S483" s="603">
        <f t="shared" si="93"/>
        <v>0</v>
      </c>
      <c r="T483" s="599">
        <f t="shared" si="94"/>
        <v>0</v>
      </c>
    </row>
    <row r="484" spans="1:20" ht="15">
      <c r="A484" s="1215"/>
      <c r="B484" s="564">
        <v>8</v>
      </c>
      <c r="C484" s="565"/>
      <c r="D484" s="564"/>
      <c r="E484" s="696"/>
      <c r="F484" s="566"/>
      <c r="G484" s="566"/>
      <c r="H484" s="566"/>
      <c r="I484" s="567"/>
      <c r="J484" s="568"/>
      <c r="K484" s="571"/>
      <c r="L484" s="571"/>
      <c r="M484" s="571"/>
      <c r="N484" s="571"/>
      <c r="O484" s="571"/>
      <c r="P484" s="571"/>
      <c r="Q484" s="572"/>
      <c r="R484" s="557"/>
      <c r="S484" s="603">
        <f t="shared" si="93"/>
        <v>0</v>
      </c>
      <c r="T484" s="599">
        <f t="shared" si="94"/>
        <v>0</v>
      </c>
    </row>
    <row r="485" spans="1:20" ht="15">
      <c r="A485" s="1215"/>
      <c r="B485" s="564">
        <v>9</v>
      </c>
      <c r="C485" s="565"/>
      <c r="D485" s="564"/>
      <c r="E485" s="696"/>
      <c r="F485" s="566"/>
      <c r="G485" s="566"/>
      <c r="H485" s="566"/>
      <c r="I485" s="567"/>
      <c r="J485" s="568"/>
      <c r="K485" s="571"/>
      <c r="L485" s="571"/>
      <c r="M485" s="571"/>
      <c r="N485" s="571"/>
      <c r="O485" s="571"/>
      <c r="P485" s="571"/>
      <c r="Q485" s="572"/>
      <c r="R485" s="557"/>
      <c r="S485" s="603">
        <f t="shared" si="93"/>
        <v>0</v>
      </c>
      <c r="T485" s="599">
        <f t="shared" si="94"/>
        <v>0</v>
      </c>
    </row>
    <row r="486" spans="1:20" ht="15">
      <c r="A486" s="1215"/>
      <c r="B486" s="564">
        <v>10</v>
      </c>
      <c r="C486" s="565"/>
      <c r="D486" s="564"/>
      <c r="E486" s="696"/>
      <c r="F486" s="566"/>
      <c r="G486" s="566"/>
      <c r="H486" s="566"/>
      <c r="I486" s="567"/>
      <c r="J486" s="568"/>
      <c r="K486" s="571"/>
      <c r="L486" s="571"/>
      <c r="M486" s="571"/>
      <c r="N486" s="571"/>
      <c r="O486" s="571"/>
      <c r="P486" s="571"/>
      <c r="Q486" s="572"/>
      <c r="R486" s="557"/>
      <c r="S486" s="603">
        <f t="shared" si="93"/>
        <v>0</v>
      </c>
      <c r="T486" s="599">
        <f t="shared" si="94"/>
        <v>0</v>
      </c>
    </row>
    <row r="487" spans="1:20" ht="15">
      <c r="A487" s="1215"/>
      <c r="B487" s="564">
        <v>11</v>
      </c>
      <c r="C487" s="565"/>
      <c r="D487" s="564"/>
      <c r="E487" s="696"/>
      <c r="F487" s="566"/>
      <c r="G487" s="566"/>
      <c r="H487" s="566"/>
      <c r="I487" s="567"/>
      <c r="J487" s="568"/>
      <c r="K487" s="571"/>
      <c r="L487" s="571"/>
      <c r="M487" s="571"/>
      <c r="N487" s="571"/>
      <c r="O487" s="571"/>
      <c r="P487" s="571"/>
      <c r="Q487" s="572"/>
      <c r="R487" s="557"/>
      <c r="S487" s="603">
        <f t="shared" si="93"/>
        <v>0</v>
      </c>
      <c r="T487" s="599">
        <f t="shared" si="94"/>
        <v>0</v>
      </c>
    </row>
    <row r="488" spans="1:20" ht="15">
      <c r="A488" s="1215"/>
      <c r="B488" s="564">
        <v>12</v>
      </c>
      <c r="C488" s="565"/>
      <c r="D488" s="564"/>
      <c r="E488" s="696"/>
      <c r="F488" s="566"/>
      <c r="G488" s="566"/>
      <c r="H488" s="566"/>
      <c r="I488" s="567"/>
      <c r="J488" s="568"/>
      <c r="K488" s="571"/>
      <c r="L488" s="571"/>
      <c r="M488" s="571"/>
      <c r="N488" s="571"/>
      <c r="O488" s="571"/>
      <c r="P488" s="571"/>
      <c r="Q488" s="572"/>
      <c r="R488" s="557"/>
      <c r="S488" s="603">
        <f t="shared" si="93"/>
        <v>0</v>
      </c>
      <c r="T488" s="599">
        <f t="shared" si="94"/>
        <v>0</v>
      </c>
    </row>
    <row r="489" spans="1:20" ht="15">
      <c r="A489" s="1215"/>
      <c r="B489" s="564">
        <v>13</v>
      </c>
      <c r="C489" s="565"/>
      <c r="D489" s="564"/>
      <c r="E489" s="696"/>
      <c r="F489" s="566"/>
      <c r="G489" s="566"/>
      <c r="H489" s="566"/>
      <c r="I489" s="567"/>
      <c r="J489" s="568"/>
      <c r="K489" s="571"/>
      <c r="L489" s="571"/>
      <c r="M489" s="571"/>
      <c r="N489" s="571"/>
      <c r="O489" s="571"/>
      <c r="P489" s="571"/>
      <c r="Q489" s="572"/>
      <c r="R489" s="557"/>
      <c r="S489" s="603">
        <f t="shared" si="93"/>
        <v>0</v>
      </c>
      <c r="T489" s="599">
        <f t="shared" si="94"/>
        <v>0</v>
      </c>
    </row>
    <row r="490" spans="1:20" ht="15">
      <c r="A490" s="1215"/>
      <c r="B490" s="564">
        <v>14</v>
      </c>
      <c r="C490" s="565"/>
      <c r="D490" s="564"/>
      <c r="E490" s="696"/>
      <c r="F490" s="566"/>
      <c r="G490" s="566"/>
      <c r="H490" s="566"/>
      <c r="I490" s="567"/>
      <c r="J490" s="568"/>
      <c r="K490" s="571"/>
      <c r="L490" s="571"/>
      <c r="M490" s="571"/>
      <c r="N490" s="571"/>
      <c r="O490" s="571"/>
      <c r="P490" s="571"/>
      <c r="Q490" s="572"/>
      <c r="R490" s="557"/>
      <c r="S490" s="603">
        <f t="shared" si="93"/>
        <v>0</v>
      </c>
      <c r="T490" s="599">
        <f t="shared" si="94"/>
        <v>0</v>
      </c>
    </row>
    <row r="491" spans="1:20" ht="15">
      <c r="A491" s="1215"/>
      <c r="B491" s="564">
        <v>15</v>
      </c>
      <c r="C491" s="565"/>
      <c r="D491" s="564"/>
      <c r="E491" s="696"/>
      <c r="F491" s="566"/>
      <c r="G491" s="566"/>
      <c r="H491" s="566"/>
      <c r="I491" s="567"/>
      <c r="J491" s="568"/>
      <c r="K491" s="571"/>
      <c r="L491" s="571"/>
      <c r="M491" s="571"/>
      <c r="N491" s="571"/>
      <c r="O491" s="571"/>
      <c r="P491" s="571"/>
      <c r="Q491" s="572"/>
      <c r="R491" s="557"/>
      <c r="S491" s="603">
        <f t="shared" si="93"/>
        <v>0</v>
      </c>
      <c r="T491" s="599">
        <f t="shared" si="94"/>
        <v>0</v>
      </c>
    </row>
    <row r="492" spans="1:20" ht="15">
      <c r="A492" s="1215"/>
      <c r="B492" s="564">
        <v>16</v>
      </c>
      <c r="C492" s="565"/>
      <c r="D492" s="564"/>
      <c r="E492" s="696"/>
      <c r="F492" s="566"/>
      <c r="G492" s="566"/>
      <c r="H492" s="566"/>
      <c r="I492" s="567"/>
      <c r="J492" s="568"/>
      <c r="K492" s="571"/>
      <c r="L492" s="571"/>
      <c r="M492" s="571"/>
      <c r="N492" s="571"/>
      <c r="O492" s="571"/>
      <c r="P492" s="571"/>
      <c r="Q492" s="572"/>
      <c r="R492" s="557"/>
      <c r="S492" s="603">
        <f t="shared" si="93"/>
        <v>0</v>
      </c>
      <c r="T492" s="599">
        <f t="shared" si="94"/>
        <v>0</v>
      </c>
    </row>
    <row r="493" spans="1:20" ht="15">
      <c r="A493" s="1215"/>
      <c r="B493" s="564">
        <v>17</v>
      </c>
      <c r="C493" s="565"/>
      <c r="D493" s="564"/>
      <c r="E493" s="696"/>
      <c r="F493" s="566"/>
      <c r="G493" s="566"/>
      <c r="H493" s="566"/>
      <c r="I493" s="567"/>
      <c r="J493" s="567"/>
      <c r="K493" s="564"/>
      <c r="L493" s="564"/>
      <c r="M493" s="564"/>
      <c r="N493" s="564"/>
      <c r="O493" s="564"/>
      <c r="P493" s="564"/>
      <c r="Q493" s="573"/>
      <c r="R493" s="557"/>
      <c r="S493" s="603">
        <f t="shared" si="93"/>
        <v>0</v>
      </c>
      <c r="T493" s="599">
        <f t="shared" si="94"/>
        <v>0</v>
      </c>
    </row>
    <row r="494" spans="1:20" ht="15">
      <c r="A494" s="1215"/>
      <c r="B494" s="564">
        <v>18</v>
      </c>
      <c r="C494" s="565"/>
      <c r="D494" s="564"/>
      <c r="E494" s="696"/>
      <c r="F494" s="566"/>
      <c r="G494" s="566"/>
      <c r="H494" s="566"/>
      <c r="I494" s="567"/>
      <c r="J494" s="567"/>
      <c r="K494" s="564"/>
      <c r="L494" s="564"/>
      <c r="M494" s="564"/>
      <c r="N494" s="564"/>
      <c r="O494" s="564"/>
      <c r="P494" s="564"/>
      <c r="Q494" s="573"/>
      <c r="R494" s="557"/>
      <c r="S494" s="603">
        <f t="shared" si="93"/>
        <v>0</v>
      </c>
      <c r="T494" s="599">
        <f t="shared" si="94"/>
        <v>0</v>
      </c>
    </row>
    <row r="495" spans="1:20" ht="15">
      <c r="A495" s="1215"/>
      <c r="B495" s="564">
        <v>19</v>
      </c>
      <c r="C495" s="565"/>
      <c r="D495" s="564"/>
      <c r="E495" s="696"/>
      <c r="F495" s="566"/>
      <c r="G495" s="566"/>
      <c r="H495" s="566"/>
      <c r="I495" s="567"/>
      <c r="J495" s="567"/>
      <c r="K495" s="564"/>
      <c r="L495" s="564"/>
      <c r="M495" s="564"/>
      <c r="N495" s="564"/>
      <c r="O495" s="564"/>
      <c r="P495" s="564"/>
      <c r="Q495" s="573"/>
      <c r="R495" s="557"/>
      <c r="S495" s="603">
        <f t="shared" si="93"/>
        <v>0</v>
      </c>
      <c r="T495" s="599">
        <f t="shared" si="94"/>
        <v>0</v>
      </c>
    </row>
    <row r="496" spans="1:20" ht="15">
      <c r="A496" s="1215"/>
      <c r="B496" s="564">
        <v>20</v>
      </c>
      <c r="C496" s="565"/>
      <c r="D496" s="564"/>
      <c r="E496" s="696"/>
      <c r="F496" s="566"/>
      <c r="G496" s="566"/>
      <c r="H496" s="566"/>
      <c r="I496" s="567"/>
      <c r="J496" s="567"/>
      <c r="K496" s="564"/>
      <c r="L496" s="564"/>
      <c r="M496" s="564"/>
      <c r="N496" s="564"/>
      <c r="O496" s="564"/>
      <c r="P496" s="564"/>
      <c r="Q496" s="573"/>
      <c r="R496" s="557"/>
      <c r="S496" s="603">
        <f t="shared" si="93"/>
        <v>0</v>
      </c>
      <c r="T496" s="599">
        <f t="shared" si="94"/>
        <v>0</v>
      </c>
    </row>
    <row r="497" spans="1:20" ht="15">
      <c r="A497" s="1215"/>
      <c r="B497" s="564">
        <v>21</v>
      </c>
      <c r="C497" s="565"/>
      <c r="D497" s="564"/>
      <c r="E497" s="696"/>
      <c r="F497" s="566"/>
      <c r="G497" s="566"/>
      <c r="H497" s="566"/>
      <c r="I497" s="567"/>
      <c r="J497" s="567"/>
      <c r="K497" s="564"/>
      <c r="L497" s="564"/>
      <c r="M497" s="564"/>
      <c r="N497" s="564"/>
      <c r="O497" s="564"/>
      <c r="P497" s="564"/>
      <c r="Q497" s="573"/>
      <c r="R497" s="557"/>
      <c r="S497" s="603">
        <f t="shared" si="93"/>
        <v>0</v>
      </c>
      <c r="T497" s="599">
        <f t="shared" si="94"/>
        <v>0</v>
      </c>
    </row>
    <row r="498" spans="1:20" ht="15">
      <c r="A498" s="1215"/>
      <c r="B498" s="564">
        <v>22</v>
      </c>
      <c r="C498" s="565"/>
      <c r="D498" s="564"/>
      <c r="E498" s="696"/>
      <c r="F498" s="566"/>
      <c r="G498" s="566"/>
      <c r="H498" s="566"/>
      <c r="I498" s="567"/>
      <c r="J498" s="567"/>
      <c r="K498" s="564"/>
      <c r="L498" s="564"/>
      <c r="M498" s="564"/>
      <c r="N498" s="564"/>
      <c r="O498" s="564"/>
      <c r="P498" s="564"/>
      <c r="Q498" s="573"/>
      <c r="R498" s="557"/>
      <c r="S498" s="603">
        <f t="shared" si="93"/>
        <v>0</v>
      </c>
      <c r="T498" s="599">
        <f t="shared" si="94"/>
        <v>0</v>
      </c>
    </row>
    <row r="499" spans="1:20" ht="15">
      <c r="A499" s="1215"/>
      <c r="B499" s="564">
        <v>23</v>
      </c>
      <c r="C499" s="565"/>
      <c r="D499" s="564"/>
      <c r="E499" s="696"/>
      <c r="F499" s="566"/>
      <c r="G499" s="566"/>
      <c r="H499" s="566"/>
      <c r="I499" s="567"/>
      <c r="J499" s="567"/>
      <c r="K499" s="564"/>
      <c r="L499" s="564"/>
      <c r="M499" s="564"/>
      <c r="N499" s="564"/>
      <c r="O499" s="564"/>
      <c r="P499" s="564"/>
      <c r="Q499" s="573"/>
      <c r="R499" s="557"/>
      <c r="S499" s="603">
        <f t="shared" si="93"/>
        <v>0</v>
      </c>
      <c r="T499" s="599">
        <f t="shared" si="94"/>
        <v>0</v>
      </c>
    </row>
    <row r="500" spans="1:20" ht="15">
      <c r="A500" s="1215"/>
      <c r="B500" s="564">
        <v>24</v>
      </c>
      <c r="C500" s="565"/>
      <c r="D500" s="564"/>
      <c r="E500" s="696"/>
      <c r="F500" s="566"/>
      <c r="G500" s="566"/>
      <c r="H500" s="566"/>
      <c r="I500" s="567"/>
      <c r="J500" s="567"/>
      <c r="K500" s="564"/>
      <c r="L500" s="564"/>
      <c r="M500" s="564"/>
      <c r="N500" s="564"/>
      <c r="O500" s="564"/>
      <c r="P500" s="564"/>
      <c r="Q500" s="573"/>
      <c r="R500" s="557"/>
      <c r="S500" s="603">
        <f t="shared" si="93"/>
        <v>0</v>
      </c>
      <c r="T500" s="599">
        <f t="shared" si="94"/>
        <v>0</v>
      </c>
    </row>
    <row r="501" spans="1:20" ht="15">
      <c r="A501" s="1215"/>
      <c r="B501" s="564">
        <v>25</v>
      </c>
      <c r="C501" s="565"/>
      <c r="D501" s="564"/>
      <c r="E501" s="696"/>
      <c r="F501" s="566"/>
      <c r="G501" s="566"/>
      <c r="H501" s="566"/>
      <c r="I501" s="567"/>
      <c r="J501" s="567"/>
      <c r="K501" s="564"/>
      <c r="L501" s="564"/>
      <c r="M501" s="564"/>
      <c r="N501" s="564"/>
      <c r="O501" s="564"/>
      <c r="P501" s="564"/>
      <c r="Q501" s="573"/>
      <c r="R501" s="557"/>
      <c r="S501" s="603">
        <f t="shared" si="93"/>
        <v>0</v>
      </c>
      <c r="T501" s="599">
        <f t="shared" si="94"/>
        <v>0</v>
      </c>
    </row>
    <row r="502" spans="1:20" ht="15">
      <c r="A502" s="1215"/>
      <c r="B502" s="564">
        <v>26</v>
      </c>
      <c r="C502" s="565"/>
      <c r="D502" s="564"/>
      <c r="E502" s="697"/>
      <c r="F502" s="695"/>
      <c r="G502" s="695"/>
      <c r="H502" s="695"/>
      <c r="I502" s="693"/>
      <c r="J502" s="693"/>
      <c r="K502" s="574"/>
      <c r="L502" s="574"/>
      <c r="M502" s="574"/>
      <c r="N502" s="574"/>
      <c r="O502" s="574"/>
      <c r="P502" s="574"/>
      <c r="Q502" s="575"/>
      <c r="R502" s="557"/>
      <c r="S502" s="603">
        <f t="shared" si="93"/>
        <v>0</v>
      </c>
      <c r="T502" s="599">
        <f t="shared" si="94"/>
        <v>0</v>
      </c>
    </row>
    <row r="503" spans="1:20" ht="15">
      <c r="A503" s="1215"/>
      <c r="B503" s="564">
        <v>27</v>
      </c>
      <c r="C503" s="565"/>
      <c r="D503" s="564"/>
      <c r="E503" s="697"/>
      <c r="F503" s="695"/>
      <c r="G503" s="695"/>
      <c r="H503" s="695"/>
      <c r="I503" s="693"/>
      <c r="J503" s="693"/>
      <c r="K503" s="574"/>
      <c r="L503" s="574"/>
      <c r="M503" s="574"/>
      <c r="N503" s="574"/>
      <c r="O503" s="574"/>
      <c r="P503" s="574"/>
      <c r="Q503" s="575"/>
      <c r="R503" s="557"/>
      <c r="S503" s="603">
        <f t="shared" si="93"/>
        <v>0</v>
      </c>
      <c r="T503" s="599">
        <f t="shared" si="94"/>
        <v>0</v>
      </c>
    </row>
    <row r="504" spans="1:20" ht="15">
      <c r="A504" s="1215"/>
      <c r="B504" s="564">
        <v>28</v>
      </c>
      <c r="C504" s="565"/>
      <c r="D504" s="564"/>
      <c r="E504" s="697"/>
      <c r="F504" s="695"/>
      <c r="G504" s="695"/>
      <c r="H504" s="695"/>
      <c r="I504" s="693"/>
      <c r="J504" s="693"/>
      <c r="K504" s="574"/>
      <c r="L504" s="574"/>
      <c r="M504" s="574"/>
      <c r="N504" s="574"/>
      <c r="O504" s="574"/>
      <c r="P504" s="574"/>
      <c r="Q504" s="575"/>
      <c r="R504" s="557"/>
      <c r="S504" s="603">
        <f t="shared" si="93"/>
        <v>0</v>
      </c>
      <c r="T504" s="599">
        <f t="shared" si="94"/>
        <v>0</v>
      </c>
    </row>
    <row r="505" spans="1:20" ht="15">
      <c r="A505" s="1215"/>
      <c r="B505" s="564">
        <v>29</v>
      </c>
      <c r="C505" s="565"/>
      <c r="D505" s="564"/>
      <c r="E505" s="697"/>
      <c r="F505" s="695"/>
      <c r="G505" s="695"/>
      <c r="H505" s="695"/>
      <c r="I505" s="693"/>
      <c r="J505" s="693"/>
      <c r="K505" s="574"/>
      <c r="L505" s="574"/>
      <c r="M505" s="574"/>
      <c r="N505" s="574"/>
      <c r="O505" s="574"/>
      <c r="P505" s="574"/>
      <c r="Q505" s="575"/>
      <c r="R505" s="557"/>
      <c r="S505" s="603">
        <f t="shared" si="93"/>
        <v>0</v>
      </c>
      <c r="T505" s="599">
        <f t="shared" si="94"/>
        <v>0</v>
      </c>
    </row>
    <row r="506" spans="1:20" ht="15">
      <c r="A506" s="1215"/>
      <c r="B506" s="564">
        <v>30</v>
      </c>
      <c r="C506" s="565"/>
      <c r="D506" s="564"/>
      <c r="E506" s="697"/>
      <c r="F506" s="695"/>
      <c r="G506" s="695"/>
      <c r="H506" s="695"/>
      <c r="I506" s="693"/>
      <c r="J506" s="693"/>
      <c r="K506" s="574"/>
      <c r="L506" s="574"/>
      <c r="M506" s="574"/>
      <c r="N506" s="574"/>
      <c r="O506" s="574"/>
      <c r="P506" s="574"/>
      <c r="Q506" s="575"/>
      <c r="R506" s="557"/>
      <c r="S506" s="603">
        <f t="shared" si="93"/>
        <v>0</v>
      </c>
      <c r="T506" s="599">
        <f t="shared" si="94"/>
        <v>0</v>
      </c>
    </row>
    <row r="507" spans="1:20" ht="15">
      <c r="A507" s="1215"/>
      <c r="B507" s="564">
        <v>31</v>
      </c>
      <c r="C507" s="565"/>
      <c r="D507" s="564"/>
      <c r="E507" s="696"/>
      <c r="F507" s="566"/>
      <c r="G507" s="566"/>
      <c r="H507" s="566"/>
      <c r="I507" s="567"/>
      <c r="J507" s="567"/>
      <c r="K507" s="564"/>
      <c r="L507" s="564"/>
      <c r="M507" s="564"/>
      <c r="N507" s="564"/>
      <c r="O507" s="564"/>
      <c r="P507" s="564"/>
      <c r="Q507" s="573"/>
      <c r="R507" s="557"/>
      <c r="S507" s="603">
        <f t="shared" si="93"/>
        <v>0</v>
      </c>
      <c r="T507" s="599">
        <f t="shared" si="94"/>
        <v>0</v>
      </c>
    </row>
    <row r="508" spans="1:20" ht="15">
      <c r="A508" s="1215"/>
      <c r="B508" s="564">
        <v>32</v>
      </c>
      <c r="C508" s="565"/>
      <c r="D508" s="564"/>
      <c r="E508" s="696"/>
      <c r="F508" s="566"/>
      <c r="G508" s="566"/>
      <c r="H508" s="566"/>
      <c r="I508" s="567"/>
      <c r="J508" s="567"/>
      <c r="K508" s="564"/>
      <c r="L508" s="564"/>
      <c r="M508" s="564"/>
      <c r="N508" s="564"/>
      <c r="O508" s="564"/>
      <c r="P508" s="564"/>
      <c r="Q508" s="573"/>
      <c r="R508" s="557"/>
      <c r="S508" s="603">
        <f t="shared" si="93"/>
        <v>0</v>
      </c>
      <c r="T508" s="599">
        <f t="shared" si="94"/>
        <v>0</v>
      </c>
    </row>
    <row r="509" spans="1:20" ht="15">
      <c r="A509" s="1215"/>
      <c r="B509" s="564">
        <v>33</v>
      </c>
      <c r="C509" s="565"/>
      <c r="D509" s="564"/>
      <c r="E509" s="696"/>
      <c r="F509" s="566"/>
      <c r="G509" s="566"/>
      <c r="H509" s="566"/>
      <c r="I509" s="567"/>
      <c r="J509" s="567"/>
      <c r="K509" s="564"/>
      <c r="L509" s="564"/>
      <c r="M509" s="564"/>
      <c r="N509" s="564"/>
      <c r="O509" s="564"/>
      <c r="P509" s="564"/>
      <c r="Q509" s="573"/>
      <c r="R509" s="557"/>
      <c r="S509" s="603">
        <f t="shared" si="93"/>
        <v>0</v>
      </c>
      <c r="T509" s="599">
        <f t="shared" si="94"/>
        <v>0</v>
      </c>
    </row>
    <row r="510" spans="1:20" ht="15">
      <c r="A510" s="1215"/>
      <c r="B510" s="564">
        <v>34</v>
      </c>
      <c r="C510" s="565"/>
      <c r="D510" s="564"/>
      <c r="E510" s="696"/>
      <c r="F510" s="566"/>
      <c r="G510" s="566"/>
      <c r="H510" s="566"/>
      <c r="I510" s="567"/>
      <c r="J510" s="567"/>
      <c r="K510" s="564"/>
      <c r="L510" s="564"/>
      <c r="M510" s="564"/>
      <c r="N510" s="564"/>
      <c r="O510" s="564"/>
      <c r="P510" s="564"/>
      <c r="Q510" s="573"/>
      <c r="R510" s="557"/>
      <c r="S510" s="603">
        <f t="shared" si="93"/>
        <v>0</v>
      </c>
      <c r="T510" s="599">
        <f t="shared" si="94"/>
        <v>0</v>
      </c>
    </row>
    <row r="511" spans="1:20" ht="15">
      <c r="A511" s="1215"/>
      <c r="B511" s="564">
        <v>35</v>
      </c>
      <c r="C511" s="565"/>
      <c r="D511" s="564"/>
      <c r="E511" s="696"/>
      <c r="F511" s="566"/>
      <c r="G511" s="566"/>
      <c r="H511" s="566"/>
      <c r="I511" s="567"/>
      <c r="J511" s="567"/>
      <c r="K511" s="564"/>
      <c r="L511" s="564"/>
      <c r="M511" s="564"/>
      <c r="N511" s="564"/>
      <c r="O511" s="564"/>
      <c r="P511" s="564"/>
      <c r="Q511" s="573"/>
      <c r="R511" s="557"/>
      <c r="S511" s="603">
        <f t="shared" si="93"/>
        <v>0</v>
      </c>
      <c r="T511" s="599">
        <f t="shared" si="94"/>
        <v>0</v>
      </c>
    </row>
    <row r="512" spans="1:20" ht="15">
      <c r="A512" s="1215"/>
      <c r="B512" s="564">
        <v>36</v>
      </c>
      <c r="C512" s="565"/>
      <c r="D512" s="564"/>
      <c r="E512" s="696"/>
      <c r="F512" s="566"/>
      <c r="G512" s="566"/>
      <c r="H512" s="566"/>
      <c r="I512" s="567"/>
      <c r="J512" s="567"/>
      <c r="K512" s="564"/>
      <c r="L512" s="564"/>
      <c r="M512" s="564"/>
      <c r="N512" s="564"/>
      <c r="O512" s="564"/>
      <c r="P512" s="564"/>
      <c r="Q512" s="573"/>
      <c r="R512" s="557"/>
      <c r="S512" s="603">
        <f t="shared" si="93"/>
        <v>0</v>
      </c>
      <c r="T512" s="599">
        <f t="shared" si="94"/>
        <v>0</v>
      </c>
    </row>
    <row r="513" spans="1:23" ht="15">
      <c r="A513" s="1215"/>
      <c r="B513" s="564">
        <v>37</v>
      </c>
      <c r="C513" s="565"/>
      <c r="D513" s="564"/>
      <c r="E513" s="696"/>
      <c r="F513" s="566"/>
      <c r="G513" s="566"/>
      <c r="H513" s="566"/>
      <c r="I513" s="567"/>
      <c r="J513" s="567"/>
      <c r="K513" s="564"/>
      <c r="L513" s="564"/>
      <c r="M513" s="564"/>
      <c r="N513" s="564"/>
      <c r="O513" s="564"/>
      <c r="P513" s="564"/>
      <c r="Q513" s="573"/>
      <c r="R513" s="557"/>
      <c r="S513" s="603">
        <f t="shared" si="93"/>
        <v>0</v>
      </c>
      <c r="T513" s="599">
        <f t="shared" si="94"/>
        <v>0</v>
      </c>
    </row>
    <row r="514" spans="1:23" ht="15">
      <c r="A514" s="1215"/>
      <c r="B514" s="564">
        <v>38</v>
      </c>
      <c r="C514" s="565"/>
      <c r="D514" s="564"/>
      <c r="E514" s="696"/>
      <c r="F514" s="566"/>
      <c r="G514" s="566"/>
      <c r="H514" s="566"/>
      <c r="I514" s="567"/>
      <c r="J514" s="567"/>
      <c r="K514" s="564"/>
      <c r="L514" s="564"/>
      <c r="M514" s="564"/>
      <c r="N514" s="564"/>
      <c r="O514" s="564"/>
      <c r="P514" s="564"/>
      <c r="Q514" s="573"/>
      <c r="R514" s="557"/>
      <c r="S514" s="603">
        <f t="shared" si="93"/>
        <v>0</v>
      </c>
      <c r="T514" s="599">
        <f t="shared" si="94"/>
        <v>0</v>
      </c>
    </row>
    <row r="515" spans="1:23" ht="15">
      <c r="A515" s="1215"/>
      <c r="B515" s="564">
        <v>39</v>
      </c>
      <c r="C515" s="565"/>
      <c r="D515" s="564"/>
      <c r="E515" s="696"/>
      <c r="F515" s="566"/>
      <c r="G515" s="566"/>
      <c r="H515" s="566"/>
      <c r="I515" s="567"/>
      <c r="J515" s="567"/>
      <c r="K515" s="564"/>
      <c r="L515" s="564"/>
      <c r="M515" s="564"/>
      <c r="N515" s="564"/>
      <c r="O515" s="564"/>
      <c r="P515" s="564"/>
      <c r="Q515" s="573"/>
      <c r="R515" s="557"/>
      <c r="S515" s="603">
        <f t="shared" si="93"/>
        <v>0</v>
      </c>
      <c r="T515" s="599">
        <f t="shared" si="94"/>
        <v>0</v>
      </c>
    </row>
    <row r="516" spans="1:23" ht="15.75" thickBot="1">
      <c r="A516" s="1215"/>
      <c r="B516" s="564">
        <v>40</v>
      </c>
      <c r="C516" s="565"/>
      <c r="D516" s="564"/>
      <c r="E516" s="696"/>
      <c r="F516" s="566"/>
      <c r="G516" s="566"/>
      <c r="H516" s="566"/>
      <c r="I516" s="567"/>
      <c r="J516" s="567"/>
      <c r="K516" s="564"/>
      <c r="L516" s="564"/>
      <c r="M516" s="564"/>
      <c r="N516" s="564"/>
      <c r="O516" s="564"/>
      <c r="P516" s="564"/>
      <c r="Q516" s="573"/>
      <c r="R516" s="557"/>
      <c r="S516" s="604">
        <f t="shared" si="93"/>
        <v>0</v>
      </c>
      <c r="T516" s="600">
        <f t="shared" si="94"/>
        <v>0</v>
      </c>
    </row>
    <row r="517" spans="1:23" ht="15.75" thickBot="1">
      <c r="A517" s="1215"/>
      <c r="B517" s="576"/>
      <c r="C517" s="576"/>
      <c r="D517" s="576"/>
      <c r="E517" s="576"/>
      <c r="F517" s="576"/>
      <c r="G517" s="576"/>
      <c r="H517" s="576"/>
      <c r="I517" s="699"/>
      <c r="J517" s="699"/>
      <c r="K517" s="576"/>
      <c r="L517" s="576"/>
      <c r="M517" s="576"/>
      <c r="N517" s="576"/>
      <c r="O517" s="576"/>
      <c r="P517" s="576"/>
      <c r="Q517" s="576"/>
      <c r="R517" s="557"/>
    </row>
    <row r="518" spans="1:23" ht="15">
      <c r="A518" s="1215"/>
      <c r="B518" s="613"/>
      <c r="C518" s="614"/>
      <c r="D518" s="617" t="s">
        <v>968</v>
      </c>
      <c r="E518" s="700">
        <f>SUMPRODUCT(T477:T516,E477:E516)</f>
        <v>5064000</v>
      </c>
      <c r="F518" s="578"/>
      <c r="G518" s="578"/>
      <c r="H518" s="578"/>
      <c r="I518" s="579"/>
      <c r="J518" s="580"/>
      <c r="K518" s="580"/>
      <c r="L518" s="580"/>
      <c r="M518" s="580"/>
      <c r="N518" s="580"/>
      <c r="O518" s="580"/>
      <c r="P518" s="580"/>
      <c r="Q518" s="580"/>
      <c r="R518" s="185"/>
      <c r="S518" s="606">
        <f>SUM(S477:S516)</f>
        <v>1</v>
      </c>
      <c r="T518" s="606">
        <f>SUM(T477:T516)</f>
        <v>1</v>
      </c>
    </row>
    <row r="519" spans="1:23" ht="15.75" thickBot="1">
      <c r="A519" s="1215"/>
      <c r="B519" s="615"/>
      <c r="C519" s="616"/>
      <c r="D519" s="618" t="s">
        <v>969</v>
      </c>
      <c r="E519" s="701"/>
      <c r="F519" s="584">
        <f>IF($T518=0,0,(SUMPRODUCT($T477:$T516,F477:F516,$E477:$E516)/$E518))</f>
        <v>7.3</v>
      </c>
      <c r="G519" s="584">
        <f t="shared" ref="G519:H519" si="95">IF($T518=0,0,(SUMPRODUCT($T477:$T516,G477:G516,$E477:$E516)/$E518))</f>
        <v>7.3</v>
      </c>
      <c r="H519" s="584">
        <f t="shared" si="95"/>
        <v>7.3</v>
      </c>
      <c r="I519" s="585">
        <f t="shared" ref="I519:J519" si="96">IF($T518=0,0,(SUMPRODUCT($T477:$T516,I477:I516,$E477:$E516)/$E518))</f>
        <v>2.0064940180697994</v>
      </c>
      <c r="J519" s="585">
        <f t="shared" si="96"/>
        <v>1.3471129136843367</v>
      </c>
      <c r="K519" s="585">
        <f t="shared" ref="K519:Q519" si="97">IF($T518=0,0,(SUMPRODUCT($T477:$T516,K477:K516,$E477:$E516)/$E518))</f>
        <v>0.87</v>
      </c>
      <c r="L519" s="585">
        <f t="shared" si="97"/>
        <v>0</v>
      </c>
      <c r="M519" s="585">
        <f t="shared" si="97"/>
        <v>0</v>
      </c>
      <c r="N519" s="585">
        <f t="shared" si="97"/>
        <v>0.13</v>
      </c>
      <c r="O519" s="585">
        <f t="shared" si="97"/>
        <v>0</v>
      </c>
      <c r="P519" s="585">
        <f t="shared" si="97"/>
        <v>0</v>
      </c>
      <c r="Q519" s="585">
        <f t="shared" si="97"/>
        <v>0</v>
      </c>
      <c r="R519" s="185"/>
    </row>
    <row r="520" spans="1:23" ht="15">
      <c r="A520" s="1215"/>
      <c r="B520" s="613"/>
      <c r="C520" s="614"/>
      <c r="D520" s="617" t="s">
        <v>970</v>
      </c>
      <c r="E520" s="700">
        <f>SUMPRODUCT(S477:S516,E477:E516)</f>
        <v>2936000</v>
      </c>
      <c r="F520" s="578"/>
      <c r="G520" s="578"/>
      <c r="H520" s="578"/>
      <c r="I520" s="579"/>
      <c r="J520" s="589"/>
      <c r="K520" s="589"/>
      <c r="L520" s="589"/>
      <c r="M520" s="589"/>
      <c r="N520" s="589"/>
      <c r="O520" s="589"/>
      <c r="P520" s="589"/>
      <c r="Q520" s="589"/>
      <c r="R520" s="185"/>
    </row>
    <row r="521" spans="1:23" ht="15.75" thickBot="1">
      <c r="A521" s="1215"/>
      <c r="B521" s="615"/>
      <c r="C521" s="616"/>
      <c r="D521" s="618" t="s">
        <v>971</v>
      </c>
      <c r="E521" s="701"/>
      <c r="F521" s="584">
        <f>IF($S518=0,0,(SUMPRODUCT($S477:$S516,F477:F516,$E477:$E516)/$E520))</f>
        <v>7.3</v>
      </c>
      <c r="G521" s="584">
        <f t="shared" ref="G521:H521" si="98">IF($S518=0,0,(SUMPRODUCT($S477:$S516,G477:G516,$E477:$E516)/$E520))</f>
        <v>7.3</v>
      </c>
      <c r="H521" s="584">
        <f t="shared" si="98"/>
        <v>7.3</v>
      </c>
      <c r="I521" s="585">
        <f t="shared" ref="I521:J521" si="99">IF($S518=0,0,(SUMPRODUCT($S477:$S516,I477:I516,$E477:$E516)/$E520))</f>
        <v>2.0064940180697994</v>
      </c>
      <c r="J521" s="585">
        <f t="shared" si="99"/>
        <v>1.3471129136843367</v>
      </c>
      <c r="K521" s="585">
        <f t="shared" ref="K521:Q521" si="100">IF($S518=0,0,(SUMPRODUCT($S477:$S516,K477:K516,$E477:$E516)/$E520))</f>
        <v>0.87</v>
      </c>
      <c r="L521" s="585">
        <f t="shared" si="100"/>
        <v>0</v>
      </c>
      <c r="M521" s="585">
        <f t="shared" si="100"/>
        <v>0</v>
      </c>
      <c r="N521" s="585">
        <f t="shared" si="100"/>
        <v>0.13</v>
      </c>
      <c r="O521" s="585">
        <f t="shared" si="100"/>
        <v>0</v>
      </c>
      <c r="P521" s="585">
        <f t="shared" si="100"/>
        <v>0</v>
      </c>
      <c r="Q521" s="585">
        <f t="shared" si="100"/>
        <v>0</v>
      </c>
      <c r="R521" s="185"/>
    </row>
    <row r="522" spans="1:23" ht="15">
      <c r="A522" s="1215"/>
      <c r="B522" s="613"/>
      <c r="C522" s="614"/>
      <c r="D522" s="617" t="s">
        <v>972</v>
      </c>
      <c r="E522" s="700">
        <f>SUM(E477:E516)</f>
        <v>8000000</v>
      </c>
      <c r="F522" s="578"/>
      <c r="G522" s="578"/>
      <c r="H522" s="578"/>
      <c r="I522" s="579"/>
      <c r="J522" s="580"/>
      <c r="K522" s="580"/>
      <c r="L522" s="580"/>
      <c r="M522" s="580"/>
      <c r="N522" s="580"/>
      <c r="O522" s="580"/>
      <c r="P522" s="580"/>
      <c r="Q522" s="580"/>
      <c r="R522" s="185"/>
    </row>
    <row r="523" spans="1:23" ht="15.75" thickBot="1">
      <c r="A523" s="1215"/>
      <c r="B523" s="615"/>
      <c r="C523" s="616"/>
      <c r="D523" s="618" t="s">
        <v>973</v>
      </c>
      <c r="E523" s="701"/>
      <c r="F523" s="584">
        <f>SUMPRODUCT($E477:$E516,F477:F516)/$E522</f>
        <v>7.3</v>
      </c>
      <c r="G523" s="584">
        <f t="shared" ref="G523:H523" si="101">SUMPRODUCT($E477:$E516,G477:G516)/$E522</f>
        <v>7.3</v>
      </c>
      <c r="H523" s="584">
        <f t="shared" si="101"/>
        <v>7.3</v>
      </c>
      <c r="I523" s="585">
        <f t="shared" ref="I523:J523" si="102">SUMPRODUCT($E477:$E516,I477:I516)/$E522</f>
        <v>2.0064940180697994</v>
      </c>
      <c r="J523" s="585">
        <f t="shared" si="102"/>
        <v>1.3471129136843367</v>
      </c>
      <c r="K523" s="801">
        <f t="shared" ref="K523:Q523" si="103">SUMPRODUCT($E477:$E516,K477:K516)/$E522</f>
        <v>0.87</v>
      </c>
      <c r="L523" s="801">
        <f t="shared" si="103"/>
        <v>0</v>
      </c>
      <c r="M523" s="801">
        <f t="shared" si="103"/>
        <v>0</v>
      </c>
      <c r="N523" s="801">
        <f t="shared" si="103"/>
        <v>0.13</v>
      </c>
      <c r="O523" s="585">
        <f t="shared" si="103"/>
        <v>0</v>
      </c>
      <c r="P523" s="585">
        <f t="shared" si="103"/>
        <v>0</v>
      </c>
      <c r="Q523" s="585">
        <f t="shared" si="103"/>
        <v>0</v>
      </c>
      <c r="R523" s="185"/>
    </row>
    <row r="524" spans="1:23" ht="15">
      <c r="A524" s="1215"/>
      <c r="B524" s="557"/>
      <c r="C524" s="557"/>
      <c r="D524" s="557"/>
      <c r="E524" s="557"/>
      <c r="F524" s="557"/>
      <c r="G524" s="557"/>
      <c r="H524" s="557"/>
      <c r="I524" s="557"/>
      <c r="J524" s="590"/>
      <c r="K524" s="557"/>
      <c r="L524" s="557"/>
      <c r="M524" s="557"/>
      <c r="N524" s="557"/>
      <c r="O524" s="557"/>
      <c r="P524" s="557"/>
      <c r="Q524" s="557"/>
      <c r="R524" s="557"/>
    </row>
    <row r="525" spans="1:23" ht="15">
      <c r="A525" s="591"/>
      <c r="B525" s="554"/>
      <c r="C525" s="591"/>
      <c r="D525" s="591"/>
      <c r="E525" s="591"/>
      <c r="F525" s="591"/>
      <c r="G525" s="591"/>
      <c r="H525" s="591"/>
      <c r="I525" s="591"/>
      <c r="J525" s="591"/>
      <c r="K525" s="554"/>
      <c r="L525" s="591"/>
      <c r="M525" s="591"/>
      <c r="N525" s="591"/>
      <c r="O525" s="591"/>
      <c r="P525" s="591"/>
      <c r="Q525" s="591"/>
      <c r="R525" s="591"/>
    </row>
    <row r="528" spans="1:23" ht="15">
      <c r="R528" s="10"/>
      <c r="S528" s="607"/>
      <c r="T528" s="607"/>
      <c r="U528" s="10"/>
      <c r="V528" s="10"/>
      <c r="W528" s="10"/>
    </row>
    <row r="529" spans="18:23">
      <c r="R529" s="10"/>
      <c r="S529" s="10"/>
      <c r="T529" s="10"/>
      <c r="U529" s="10"/>
      <c r="V529" s="10"/>
      <c r="W529" s="10"/>
    </row>
    <row r="530" spans="18:23">
      <c r="R530" s="10"/>
      <c r="S530" s="10"/>
      <c r="T530" s="10"/>
      <c r="U530" s="10"/>
      <c r="V530" s="10"/>
      <c r="W530" s="10"/>
    </row>
    <row r="531" spans="18:23">
      <c r="R531" s="10"/>
      <c r="S531" s="10"/>
      <c r="T531" s="10"/>
      <c r="U531" s="10"/>
      <c r="V531" s="10"/>
      <c r="W531" s="10"/>
    </row>
    <row r="532" spans="18:23">
      <c r="R532" s="10"/>
      <c r="S532" s="10"/>
      <c r="T532" s="10"/>
      <c r="U532" s="10"/>
      <c r="V532" s="10"/>
      <c r="W532" s="10"/>
    </row>
    <row r="533" spans="18:23">
      <c r="R533" s="10"/>
      <c r="S533" s="10"/>
      <c r="T533" s="10"/>
      <c r="U533" s="10"/>
      <c r="V533" s="10"/>
      <c r="W533" s="10"/>
    </row>
    <row r="534" spans="18:23">
      <c r="R534" s="10"/>
      <c r="S534" s="10"/>
      <c r="T534" s="10"/>
      <c r="U534" s="10"/>
      <c r="V534" s="10"/>
      <c r="W534" s="10"/>
    </row>
    <row r="535" spans="18:23">
      <c r="R535" s="10"/>
      <c r="S535" s="10"/>
      <c r="T535" s="10"/>
      <c r="U535" s="10"/>
      <c r="V535" s="10"/>
      <c r="W535" s="10"/>
    </row>
    <row r="536" spans="18:23">
      <c r="R536" s="10"/>
      <c r="S536" s="10"/>
      <c r="T536" s="10"/>
      <c r="U536" s="10"/>
      <c r="V536" s="10"/>
      <c r="W536" s="10"/>
    </row>
    <row r="537" spans="18:23">
      <c r="R537" s="10"/>
      <c r="S537" s="10"/>
      <c r="T537" s="10"/>
      <c r="U537" s="10"/>
      <c r="V537" s="10"/>
      <c r="W537" s="10"/>
    </row>
    <row r="538" spans="18:23">
      <c r="R538" s="10"/>
      <c r="S538" s="10"/>
      <c r="T538" s="10"/>
      <c r="U538" s="10"/>
      <c r="V538" s="10"/>
      <c r="W538" s="10"/>
    </row>
    <row r="539" spans="18:23">
      <c r="R539" s="10"/>
      <c r="S539" s="10"/>
      <c r="T539" s="10"/>
      <c r="U539" s="10"/>
      <c r="V539" s="10"/>
      <c r="W539" s="10"/>
    </row>
    <row r="540" spans="18:23">
      <c r="R540" s="10"/>
      <c r="S540" s="10"/>
      <c r="T540" s="10"/>
      <c r="U540" s="10"/>
      <c r="V540" s="10"/>
      <c r="W540" s="10"/>
    </row>
    <row r="541" spans="18:23">
      <c r="R541" s="10"/>
      <c r="S541" s="10"/>
      <c r="T541" s="10"/>
      <c r="U541" s="10"/>
      <c r="V541" s="10"/>
      <c r="W541" s="10"/>
    </row>
    <row r="542" spans="18:23">
      <c r="R542" s="10"/>
      <c r="S542" s="10"/>
      <c r="T542" s="10"/>
      <c r="U542" s="10"/>
      <c r="V542" s="10"/>
      <c r="W542" s="10"/>
    </row>
    <row r="543" spans="18:23">
      <c r="R543" s="10"/>
      <c r="S543" s="10"/>
      <c r="T543" s="10"/>
      <c r="U543" s="10"/>
      <c r="V543" s="10"/>
      <c r="W543" s="10"/>
    </row>
    <row r="544" spans="18:23">
      <c r="R544" s="10"/>
      <c r="S544" s="10"/>
      <c r="T544" s="10"/>
      <c r="U544" s="10"/>
      <c r="V544" s="10"/>
      <c r="W544" s="10"/>
    </row>
    <row r="545" spans="18:23">
      <c r="R545" s="10"/>
      <c r="S545" s="10"/>
      <c r="T545" s="10"/>
      <c r="U545" s="10"/>
      <c r="V545" s="10"/>
      <c r="W545" s="10"/>
    </row>
    <row r="546" spans="18:23">
      <c r="R546" s="10"/>
      <c r="S546" s="10"/>
      <c r="T546" s="10"/>
      <c r="U546" s="10"/>
      <c r="V546" s="10"/>
      <c r="W546" s="10"/>
    </row>
    <row r="547" spans="18:23">
      <c r="R547" s="10"/>
      <c r="S547" s="10"/>
      <c r="T547" s="10"/>
      <c r="U547" s="10"/>
      <c r="V547" s="10"/>
      <c r="W547" s="10"/>
    </row>
    <row r="548" spans="18:23">
      <c r="R548" s="10"/>
      <c r="S548" s="10"/>
      <c r="T548" s="10"/>
      <c r="U548" s="10"/>
      <c r="V548" s="10"/>
      <c r="W548" s="10"/>
    </row>
    <row r="549" spans="18:23">
      <c r="R549" s="10"/>
      <c r="S549" s="10"/>
      <c r="T549" s="10"/>
      <c r="U549" s="10"/>
      <c r="V549" s="10"/>
      <c r="W549" s="10"/>
    </row>
    <row r="550" spans="18:23">
      <c r="R550" s="10"/>
      <c r="S550" s="10"/>
      <c r="T550" s="10"/>
      <c r="U550" s="10"/>
      <c r="V550" s="10"/>
      <c r="W550" s="10"/>
    </row>
    <row r="551" spans="18:23">
      <c r="R551" s="10"/>
      <c r="S551" s="10"/>
      <c r="T551" s="10"/>
      <c r="U551" s="10"/>
      <c r="V551" s="10"/>
      <c r="W551" s="10"/>
    </row>
    <row r="552" spans="18:23">
      <c r="R552" s="10"/>
      <c r="S552" s="10"/>
      <c r="T552" s="10"/>
      <c r="U552" s="10"/>
      <c r="V552" s="10"/>
      <c r="W552" s="10"/>
    </row>
    <row r="553" spans="18:23">
      <c r="R553" s="10"/>
      <c r="S553" s="10"/>
      <c r="T553" s="10"/>
      <c r="U553" s="10"/>
      <c r="V553" s="10"/>
      <c r="W553" s="10"/>
    </row>
    <row r="554" spans="18:23">
      <c r="R554" s="10"/>
      <c r="S554" s="10"/>
      <c r="T554" s="10"/>
      <c r="U554" s="10"/>
      <c r="V554" s="10"/>
      <c r="W554" s="10"/>
    </row>
    <row r="555" spans="18:23">
      <c r="R555" s="10"/>
      <c r="S555" s="10"/>
      <c r="T555" s="10"/>
      <c r="U555" s="10"/>
      <c r="V555" s="10"/>
      <c r="W555" s="10"/>
    </row>
    <row r="556" spans="18:23">
      <c r="R556" s="10"/>
      <c r="S556" s="10"/>
      <c r="T556" s="10"/>
      <c r="U556" s="10"/>
      <c r="V556" s="10"/>
      <c r="W556" s="10"/>
    </row>
    <row r="557" spans="18:23">
      <c r="R557" s="10"/>
      <c r="S557" s="10"/>
      <c r="T557" s="10"/>
      <c r="U557" s="10"/>
      <c r="V557" s="10"/>
      <c r="W557" s="10"/>
    </row>
    <row r="558" spans="18:23">
      <c r="R558" s="10"/>
      <c r="S558" s="10"/>
      <c r="T558" s="10"/>
      <c r="U558" s="10"/>
      <c r="V558" s="10"/>
      <c r="W558" s="10"/>
    </row>
    <row r="559" spans="18:23">
      <c r="R559" s="10"/>
      <c r="S559" s="10"/>
      <c r="T559" s="10"/>
      <c r="U559" s="10"/>
      <c r="V559" s="10"/>
      <c r="W559" s="10"/>
    </row>
    <row r="560" spans="18:23">
      <c r="R560" s="10"/>
      <c r="S560" s="10"/>
      <c r="T560" s="10"/>
      <c r="U560" s="10"/>
      <c r="V560" s="10"/>
      <c r="W560" s="10"/>
    </row>
    <row r="561" spans="18:23">
      <c r="R561" s="10"/>
      <c r="S561" s="10"/>
      <c r="T561" s="10"/>
      <c r="U561" s="10"/>
      <c r="V561" s="10"/>
      <c r="W561" s="10"/>
    </row>
    <row r="562" spans="18:23">
      <c r="R562" s="10"/>
      <c r="S562" s="10"/>
      <c r="T562" s="10"/>
      <c r="U562" s="10"/>
      <c r="V562" s="10"/>
      <c r="W562" s="10"/>
    </row>
    <row r="563" spans="18:23">
      <c r="R563" s="10"/>
      <c r="S563" s="10"/>
      <c r="T563" s="10"/>
      <c r="U563" s="10"/>
      <c r="V563" s="10"/>
      <c r="W563" s="10"/>
    </row>
    <row r="564" spans="18:23">
      <c r="R564" s="10"/>
      <c r="S564" s="10"/>
      <c r="T564" s="10"/>
      <c r="U564" s="10"/>
      <c r="V564" s="10"/>
      <c r="W564" s="10"/>
    </row>
    <row r="565" spans="18:23">
      <c r="R565" s="10"/>
      <c r="S565" s="10"/>
      <c r="T565" s="10"/>
      <c r="U565" s="10"/>
      <c r="V565" s="10"/>
      <c r="W565" s="10"/>
    </row>
    <row r="566" spans="18:23">
      <c r="R566" s="10"/>
      <c r="S566" s="10"/>
      <c r="T566" s="10"/>
      <c r="U566" s="10"/>
      <c r="V566" s="10"/>
      <c r="W566" s="10"/>
    </row>
    <row r="567" spans="18:23">
      <c r="R567" s="10"/>
      <c r="S567" s="10"/>
      <c r="T567" s="10"/>
      <c r="U567" s="10"/>
      <c r="V567" s="10"/>
      <c r="W567" s="10"/>
    </row>
    <row r="568" spans="18:23">
      <c r="R568" s="10"/>
      <c r="S568" s="10"/>
      <c r="T568" s="10"/>
      <c r="U568" s="10"/>
      <c r="V568" s="10"/>
      <c r="W568" s="10"/>
    </row>
    <row r="569" spans="18:23">
      <c r="R569" s="10"/>
      <c r="S569" s="10"/>
      <c r="T569" s="10"/>
      <c r="U569" s="10"/>
      <c r="V569" s="10"/>
      <c r="W569" s="10"/>
    </row>
    <row r="570" spans="18:23">
      <c r="R570" s="10"/>
      <c r="S570" s="10"/>
      <c r="T570" s="10"/>
      <c r="U570" s="10"/>
      <c r="V570" s="10"/>
      <c r="W570" s="10"/>
    </row>
    <row r="571" spans="18:23">
      <c r="R571" s="10"/>
      <c r="S571" s="10"/>
      <c r="T571" s="10"/>
      <c r="U571" s="10"/>
      <c r="V571" s="10"/>
      <c r="W571" s="10"/>
    </row>
    <row r="572" spans="18:23">
      <c r="R572" s="10"/>
      <c r="S572" s="10"/>
      <c r="T572" s="10"/>
      <c r="U572" s="10"/>
      <c r="V572" s="10"/>
      <c r="W572" s="10"/>
    </row>
    <row r="573" spans="18:23">
      <c r="R573" s="10"/>
      <c r="S573" s="10"/>
      <c r="T573" s="10"/>
      <c r="U573" s="10"/>
      <c r="V573" s="10"/>
      <c r="W573" s="10"/>
    </row>
    <row r="574" spans="18:23">
      <c r="R574" s="10"/>
      <c r="S574" s="10"/>
      <c r="T574" s="10"/>
      <c r="U574" s="10"/>
      <c r="V574" s="10"/>
      <c r="W574" s="10"/>
    </row>
    <row r="575" spans="18:23">
      <c r="R575" s="10"/>
      <c r="S575" s="10"/>
      <c r="T575" s="10"/>
      <c r="U575" s="10"/>
      <c r="V575" s="10"/>
      <c r="W575" s="10"/>
    </row>
    <row r="576" spans="18:23">
      <c r="R576" s="10"/>
      <c r="S576" s="10"/>
      <c r="T576" s="10"/>
      <c r="U576" s="10"/>
      <c r="V576" s="10"/>
      <c r="W576" s="10"/>
    </row>
    <row r="577" spans="18:23">
      <c r="R577" s="10"/>
      <c r="S577" s="10"/>
      <c r="T577" s="10"/>
      <c r="U577" s="10"/>
      <c r="V577" s="10"/>
      <c r="W577" s="10"/>
    </row>
    <row r="578" spans="18:23">
      <c r="R578" s="10"/>
      <c r="S578" s="10"/>
      <c r="T578" s="10"/>
      <c r="U578" s="10"/>
      <c r="V578" s="10"/>
      <c r="W578" s="10"/>
    </row>
    <row r="579" spans="18:23">
      <c r="R579" s="10"/>
      <c r="S579" s="10"/>
      <c r="T579" s="10"/>
      <c r="U579" s="10"/>
      <c r="V579" s="10"/>
      <c r="W579" s="10"/>
    </row>
    <row r="580" spans="18:23" ht="15">
      <c r="R580" s="10"/>
      <c r="S580" s="607"/>
      <c r="T580" s="607"/>
      <c r="U580" s="10"/>
      <c r="V580" s="10"/>
      <c r="W580" s="10"/>
    </row>
    <row r="581" spans="18:23">
      <c r="R581" s="10"/>
      <c r="S581" s="10"/>
      <c r="T581" s="10"/>
      <c r="U581" s="10"/>
      <c r="V581" s="10"/>
      <c r="W581" s="10"/>
    </row>
    <row r="582" spans="18:23">
      <c r="R582" s="10"/>
      <c r="S582" s="10"/>
      <c r="T582" s="10"/>
      <c r="U582" s="10"/>
      <c r="V582" s="10"/>
      <c r="W582" s="10"/>
    </row>
    <row r="583" spans="18:23">
      <c r="R583" s="10"/>
      <c r="S583" s="10"/>
      <c r="T583" s="10"/>
      <c r="U583" s="10"/>
      <c r="V583" s="10"/>
      <c r="W583" s="10"/>
    </row>
    <row r="584" spans="18:23">
      <c r="R584" s="10"/>
      <c r="S584" s="10"/>
      <c r="T584" s="10"/>
      <c r="U584" s="10"/>
      <c r="V584" s="10"/>
      <c r="W584" s="10"/>
    </row>
    <row r="585" spans="18:23">
      <c r="R585" s="10"/>
      <c r="S585" s="10"/>
      <c r="T585" s="10"/>
      <c r="U585" s="10"/>
      <c r="V585" s="10"/>
      <c r="W585" s="10"/>
    </row>
    <row r="586" spans="18:23">
      <c r="R586" s="10"/>
      <c r="S586" s="10"/>
      <c r="T586" s="10"/>
      <c r="U586" s="10"/>
      <c r="V586" s="10"/>
      <c r="W586" s="10"/>
    </row>
    <row r="587" spans="18:23">
      <c r="R587" s="10"/>
      <c r="S587" s="10"/>
      <c r="T587" s="10"/>
      <c r="U587" s="10"/>
      <c r="V587" s="10"/>
      <c r="W587" s="10"/>
    </row>
    <row r="588" spans="18:23">
      <c r="R588" s="10"/>
      <c r="S588" s="10"/>
      <c r="T588" s="10"/>
      <c r="U588" s="10"/>
      <c r="V588" s="10"/>
      <c r="W588" s="10"/>
    </row>
    <row r="589" spans="18:23">
      <c r="R589" s="10"/>
      <c r="S589" s="10"/>
      <c r="T589" s="10"/>
      <c r="U589" s="10"/>
      <c r="V589" s="10"/>
      <c r="W589" s="10"/>
    </row>
    <row r="590" spans="18:23">
      <c r="R590" s="10"/>
      <c r="S590" s="10"/>
      <c r="T590" s="10"/>
      <c r="U590" s="10"/>
      <c r="V590" s="10"/>
      <c r="W590" s="10"/>
    </row>
    <row r="591" spans="18:23">
      <c r="R591" s="10"/>
      <c r="S591" s="10"/>
      <c r="T591" s="10"/>
      <c r="U591" s="10"/>
      <c r="V591" s="10"/>
      <c r="W591" s="10"/>
    </row>
    <row r="592" spans="18:23">
      <c r="R592" s="10"/>
      <c r="S592" s="10"/>
      <c r="T592" s="10"/>
      <c r="U592" s="10"/>
      <c r="V592" s="10"/>
      <c r="W592" s="10"/>
    </row>
    <row r="593" spans="18:23">
      <c r="R593" s="10"/>
      <c r="S593" s="10"/>
      <c r="T593" s="10"/>
      <c r="U593" s="10"/>
      <c r="V593" s="10"/>
      <c r="W593" s="10"/>
    </row>
    <row r="594" spans="18:23">
      <c r="R594" s="10"/>
      <c r="S594" s="10"/>
      <c r="T594" s="10"/>
      <c r="U594" s="10"/>
      <c r="V594" s="10"/>
      <c r="W594" s="10"/>
    </row>
    <row r="595" spans="18:23">
      <c r="R595" s="10"/>
      <c r="S595" s="10"/>
      <c r="T595" s="10"/>
      <c r="U595" s="10"/>
      <c r="V595" s="10"/>
      <c r="W595" s="10"/>
    </row>
    <row r="596" spans="18:23">
      <c r="R596" s="10"/>
      <c r="S596" s="10"/>
      <c r="T596" s="10"/>
      <c r="U596" s="10"/>
      <c r="V596" s="10"/>
      <c r="W596" s="10"/>
    </row>
    <row r="597" spans="18:23">
      <c r="R597" s="10"/>
      <c r="S597" s="10"/>
      <c r="T597" s="10"/>
      <c r="U597" s="10"/>
      <c r="V597" s="10"/>
      <c r="W597" s="10"/>
    </row>
    <row r="598" spans="18:23">
      <c r="R598" s="10"/>
      <c r="S598" s="10"/>
      <c r="T598" s="10"/>
      <c r="U598" s="10"/>
      <c r="V598" s="10"/>
      <c r="W598" s="10"/>
    </row>
    <row r="599" spans="18:23">
      <c r="R599" s="10"/>
      <c r="S599" s="10"/>
      <c r="T599" s="10"/>
      <c r="U599" s="10"/>
      <c r="V599" s="10"/>
      <c r="W599" s="10"/>
    </row>
    <row r="600" spans="18:23">
      <c r="R600" s="10"/>
      <c r="S600" s="10"/>
      <c r="T600" s="10"/>
      <c r="U600" s="10"/>
      <c r="V600" s="10"/>
      <c r="W600" s="10"/>
    </row>
    <row r="601" spans="18:23">
      <c r="R601" s="10"/>
      <c r="S601" s="10"/>
      <c r="T601" s="10"/>
      <c r="U601" s="10"/>
      <c r="V601" s="10"/>
      <c r="W601" s="10"/>
    </row>
    <row r="602" spans="18:23">
      <c r="R602" s="10"/>
      <c r="S602" s="10"/>
      <c r="T602" s="10"/>
      <c r="U602" s="10"/>
      <c r="V602" s="10"/>
      <c r="W602" s="10"/>
    </row>
    <row r="603" spans="18:23">
      <c r="R603" s="10"/>
      <c r="S603" s="10"/>
      <c r="T603" s="10"/>
      <c r="U603" s="10"/>
      <c r="V603" s="10"/>
      <c r="W603" s="10"/>
    </row>
    <row r="604" spans="18:23">
      <c r="R604" s="10"/>
      <c r="S604" s="10"/>
      <c r="T604" s="10"/>
      <c r="U604" s="10"/>
      <c r="V604" s="10"/>
      <c r="W604" s="10"/>
    </row>
    <row r="605" spans="18:23">
      <c r="R605" s="10"/>
      <c r="S605" s="10"/>
      <c r="T605" s="10"/>
      <c r="U605" s="10"/>
      <c r="V605" s="10"/>
      <c r="W605" s="10"/>
    </row>
    <row r="606" spans="18:23">
      <c r="R606" s="10"/>
      <c r="S606" s="10"/>
      <c r="T606" s="10"/>
      <c r="U606" s="10"/>
      <c r="V606" s="10"/>
      <c r="W606" s="10"/>
    </row>
    <row r="607" spans="18:23">
      <c r="R607" s="10"/>
      <c r="S607" s="10"/>
      <c r="T607" s="10"/>
      <c r="U607" s="10"/>
      <c r="V607" s="10"/>
      <c r="W607" s="10"/>
    </row>
    <row r="608" spans="18:23">
      <c r="R608" s="10"/>
      <c r="S608" s="10"/>
      <c r="T608" s="10"/>
      <c r="U608" s="10"/>
      <c r="V608" s="10"/>
      <c r="W608" s="10"/>
    </row>
    <row r="609" spans="18:23">
      <c r="R609" s="10"/>
      <c r="S609" s="10"/>
      <c r="T609" s="10"/>
      <c r="U609" s="10"/>
      <c r="V609" s="10"/>
      <c r="W609" s="10"/>
    </row>
    <row r="610" spans="18:23">
      <c r="R610" s="10"/>
      <c r="S610" s="10"/>
      <c r="T610" s="10"/>
      <c r="U610" s="10"/>
      <c r="V610" s="10"/>
      <c r="W610" s="10"/>
    </row>
    <row r="611" spans="18:23">
      <c r="R611" s="10"/>
      <c r="S611" s="10"/>
      <c r="T611" s="10"/>
      <c r="U611" s="10"/>
      <c r="V611" s="10"/>
      <c r="W611" s="10"/>
    </row>
    <row r="612" spans="18:23">
      <c r="R612" s="10"/>
      <c r="S612" s="10"/>
      <c r="T612" s="10"/>
      <c r="U612" s="10"/>
      <c r="V612" s="10"/>
      <c r="W612" s="10"/>
    </row>
    <row r="613" spans="18:23">
      <c r="R613" s="10"/>
      <c r="S613" s="10"/>
      <c r="T613" s="10"/>
      <c r="U613" s="10"/>
      <c r="V613" s="10"/>
      <c r="W613" s="10"/>
    </row>
    <row r="614" spans="18:23">
      <c r="R614" s="10"/>
      <c r="S614" s="10"/>
      <c r="T614" s="10"/>
      <c r="U614" s="10"/>
      <c r="V614" s="10"/>
      <c r="W614" s="10"/>
    </row>
    <row r="615" spans="18:23">
      <c r="R615" s="10"/>
      <c r="S615" s="10"/>
      <c r="T615" s="10"/>
      <c r="U615" s="10"/>
      <c r="V615" s="10"/>
      <c r="W615" s="10"/>
    </row>
    <row r="616" spans="18:23">
      <c r="R616" s="10"/>
      <c r="S616" s="10"/>
      <c r="T616" s="10"/>
      <c r="U616" s="10"/>
      <c r="V616" s="10"/>
      <c r="W616" s="10"/>
    </row>
    <row r="617" spans="18:23">
      <c r="R617" s="10"/>
      <c r="S617" s="10"/>
      <c r="T617" s="10"/>
      <c r="U617" s="10"/>
      <c r="V617" s="10"/>
      <c r="W617" s="10"/>
    </row>
    <row r="618" spans="18:23">
      <c r="R618" s="10"/>
      <c r="S618" s="10"/>
      <c r="T618" s="10"/>
      <c r="U618" s="10"/>
      <c r="V618" s="10"/>
      <c r="W618" s="10"/>
    </row>
    <row r="619" spans="18:23">
      <c r="R619" s="10"/>
      <c r="S619" s="10"/>
      <c r="T619" s="10"/>
      <c r="U619" s="10"/>
      <c r="V619" s="10"/>
      <c r="W619" s="10"/>
    </row>
    <row r="620" spans="18:23">
      <c r="R620" s="10"/>
      <c r="S620" s="10"/>
      <c r="T620" s="10"/>
      <c r="U620" s="10"/>
      <c r="V620" s="10"/>
      <c r="W620" s="10"/>
    </row>
    <row r="621" spans="18:23">
      <c r="R621" s="10"/>
      <c r="S621" s="10"/>
      <c r="T621" s="10"/>
      <c r="U621" s="10"/>
      <c r="V621" s="10"/>
      <c r="W621" s="10"/>
    </row>
    <row r="622" spans="18:23">
      <c r="R622" s="10"/>
      <c r="S622" s="10"/>
      <c r="T622" s="10"/>
      <c r="U622" s="10"/>
      <c r="V622" s="10"/>
      <c r="W622" s="10"/>
    </row>
    <row r="623" spans="18:23">
      <c r="R623" s="10"/>
      <c r="S623" s="10"/>
      <c r="T623" s="10"/>
      <c r="U623" s="10"/>
      <c r="V623" s="10"/>
      <c r="W623" s="10"/>
    </row>
    <row r="624" spans="18:23">
      <c r="R624" s="10"/>
      <c r="S624" s="10"/>
      <c r="T624" s="10"/>
      <c r="U624" s="10"/>
      <c r="V624" s="10"/>
      <c r="W624" s="10"/>
    </row>
    <row r="625" spans="18:23">
      <c r="R625" s="10"/>
      <c r="S625" s="10"/>
      <c r="T625" s="10"/>
      <c r="U625" s="10"/>
      <c r="V625" s="10"/>
      <c r="W625" s="10"/>
    </row>
    <row r="626" spans="18:23">
      <c r="R626" s="10"/>
      <c r="S626" s="10"/>
      <c r="T626" s="10"/>
      <c r="U626" s="10"/>
      <c r="V626" s="10"/>
      <c r="W626" s="10"/>
    </row>
    <row r="627" spans="18:23">
      <c r="R627" s="10"/>
      <c r="S627" s="10"/>
      <c r="T627" s="10"/>
      <c r="U627" s="10"/>
      <c r="V627" s="10"/>
      <c r="W627" s="10"/>
    </row>
    <row r="628" spans="18:23">
      <c r="R628" s="10"/>
      <c r="S628" s="10"/>
      <c r="T628" s="10"/>
      <c r="U628" s="10"/>
      <c r="V628" s="10"/>
      <c r="W628" s="10"/>
    </row>
    <row r="629" spans="18:23">
      <c r="R629" s="10"/>
      <c r="S629" s="10"/>
      <c r="T629" s="10"/>
      <c r="U629" s="10"/>
      <c r="V629" s="10"/>
      <c r="W629" s="10"/>
    </row>
    <row r="630" spans="18:23">
      <c r="R630" s="10"/>
      <c r="S630" s="10"/>
      <c r="T630" s="10"/>
      <c r="U630" s="10"/>
      <c r="V630" s="10"/>
      <c r="W630" s="10"/>
    </row>
    <row r="631" spans="18:23">
      <c r="R631" s="10"/>
      <c r="S631" s="10"/>
      <c r="T631" s="10"/>
      <c r="U631" s="10"/>
      <c r="V631" s="10"/>
      <c r="W631" s="10"/>
    </row>
    <row r="632" spans="18:23" ht="15">
      <c r="R632" s="10"/>
      <c r="S632" s="607"/>
      <c r="T632" s="607"/>
      <c r="U632" s="10"/>
      <c r="V632" s="10"/>
      <c r="W632" s="10"/>
    </row>
    <row r="633" spans="18:23">
      <c r="R633" s="10"/>
      <c r="S633" s="10"/>
      <c r="T633" s="10"/>
      <c r="U633" s="10"/>
      <c r="V633" s="10"/>
      <c r="W633" s="10"/>
    </row>
    <row r="634" spans="18:23">
      <c r="R634" s="10"/>
      <c r="S634" s="10"/>
      <c r="T634" s="10"/>
      <c r="U634" s="10"/>
      <c r="V634" s="10"/>
      <c r="W634" s="10"/>
    </row>
    <row r="635" spans="18:23">
      <c r="R635" s="10"/>
      <c r="S635" s="10"/>
      <c r="T635" s="10"/>
      <c r="U635" s="10"/>
      <c r="V635" s="10"/>
      <c r="W635" s="10"/>
    </row>
    <row r="636" spans="18:23">
      <c r="R636" s="10"/>
      <c r="S636" s="10"/>
      <c r="T636" s="10"/>
      <c r="U636" s="10"/>
      <c r="V636" s="10"/>
      <c r="W636" s="10"/>
    </row>
    <row r="637" spans="18:23">
      <c r="R637" s="10"/>
      <c r="S637" s="10"/>
      <c r="T637" s="10"/>
      <c r="U637" s="10"/>
      <c r="V637" s="10"/>
      <c r="W637" s="10"/>
    </row>
    <row r="638" spans="18:23">
      <c r="R638" s="10"/>
      <c r="S638" s="10"/>
      <c r="T638" s="10"/>
      <c r="U638" s="10"/>
      <c r="V638" s="10"/>
      <c r="W638" s="10"/>
    </row>
    <row r="639" spans="18:23">
      <c r="R639" s="10"/>
      <c r="S639" s="10"/>
      <c r="T639" s="10"/>
      <c r="U639" s="10"/>
      <c r="V639" s="10"/>
      <c r="W639" s="10"/>
    </row>
    <row r="640" spans="18:23">
      <c r="R640" s="10"/>
      <c r="S640" s="10"/>
      <c r="T640" s="10"/>
      <c r="U640" s="10"/>
      <c r="V640" s="10"/>
      <c r="W640" s="10"/>
    </row>
    <row r="641" spans="18:23">
      <c r="R641" s="10"/>
      <c r="S641" s="10"/>
      <c r="T641" s="10"/>
      <c r="U641" s="10"/>
      <c r="V641" s="10"/>
      <c r="W641" s="10"/>
    </row>
    <row r="642" spans="18:23">
      <c r="R642" s="10"/>
      <c r="S642" s="10"/>
      <c r="T642" s="10"/>
      <c r="U642" s="10"/>
      <c r="V642" s="10"/>
      <c r="W642" s="10"/>
    </row>
    <row r="643" spans="18:23">
      <c r="R643" s="10"/>
      <c r="S643" s="10"/>
      <c r="T643" s="10"/>
      <c r="U643" s="10"/>
      <c r="V643" s="10"/>
      <c r="W643" s="10"/>
    </row>
    <row r="644" spans="18:23">
      <c r="R644" s="10"/>
      <c r="S644" s="10"/>
      <c r="T644" s="10"/>
      <c r="U644" s="10"/>
      <c r="V644" s="10"/>
      <c r="W644" s="10"/>
    </row>
    <row r="645" spans="18:23">
      <c r="R645" s="10"/>
      <c r="S645" s="10"/>
      <c r="T645" s="10"/>
      <c r="U645" s="10"/>
      <c r="V645" s="10"/>
      <c r="W645" s="10"/>
    </row>
    <row r="646" spans="18:23">
      <c r="R646" s="10"/>
      <c r="S646" s="10"/>
      <c r="T646" s="10"/>
      <c r="U646" s="10"/>
      <c r="V646" s="10"/>
      <c r="W646" s="10"/>
    </row>
    <row r="647" spans="18:23">
      <c r="R647" s="10"/>
      <c r="S647" s="10"/>
      <c r="T647" s="10"/>
      <c r="U647" s="10"/>
      <c r="V647" s="10"/>
      <c r="W647" s="10"/>
    </row>
    <row r="648" spans="18:23">
      <c r="R648" s="10"/>
      <c r="S648" s="10"/>
      <c r="T648" s="10"/>
      <c r="U648" s="10"/>
      <c r="V648" s="10"/>
      <c r="W648" s="10"/>
    </row>
    <row r="649" spans="18:23">
      <c r="R649" s="10"/>
      <c r="S649" s="10"/>
      <c r="T649" s="10"/>
      <c r="U649" s="10"/>
      <c r="V649" s="10"/>
      <c r="W649" s="10"/>
    </row>
    <row r="650" spans="18:23">
      <c r="R650" s="10"/>
      <c r="S650" s="10"/>
      <c r="T650" s="10"/>
      <c r="U650" s="10"/>
      <c r="V650" s="10"/>
      <c r="W650" s="10"/>
    </row>
    <row r="651" spans="18:23">
      <c r="R651" s="10"/>
      <c r="S651" s="10"/>
      <c r="T651" s="10"/>
      <c r="U651" s="10"/>
      <c r="V651" s="10"/>
      <c r="W651" s="10"/>
    </row>
    <row r="652" spans="18:23">
      <c r="R652" s="10"/>
      <c r="S652" s="10"/>
      <c r="T652" s="10"/>
      <c r="U652" s="10"/>
      <c r="V652" s="10"/>
      <c r="W652" s="10"/>
    </row>
    <row r="653" spans="18:23">
      <c r="R653" s="10"/>
      <c r="S653" s="10"/>
      <c r="T653" s="10"/>
      <c r="U653" s="10"/>
      <c r="V653" s="10"/>
      <c r="W653" s="10"/>
    </row>
    <row r="654" spans="18:23">
      <c r="R654" s="10"/>
      <c r="S654" s="10"/>
      <c r="T654" s="10"/>
      <c r="U654" s="10"/>
      <c r="V654" s="10"/>
      <c r="W654" s="10"/>
    </row>
    <row r="655" spans="18:23">
      <c r="R655" s="10"/>
      <c r="S655" s="10"/>
      <c r="T655" s="10"/>
      <c r="U655" s="10"/>
      <c r="V655" s="10"/>
      <c r="W655" s="10"/>
    </row>
    <row r="656" spans="18:23">
      <c r="R656" s="10"/>
      <c r="S656" s="10"/>
      <c r="T656" s="10"/>
      <c r="U656" s="10"/>
      <c r="V656" s="10"/>
      <c r="W656" s="10"/>
    </row>
    <row r="657" spans="18:23">
      <c r="R657" s="10"/>
      <c r="S657" s="10"/>
      <c r="T657" s="10"/>
      <c r="U657" s="10"/>
      <c r="V657" s="10"/>
      <c r="W657" s="10"/>
    </row>
    <row r="658" spans="18:23">
      <c r="R658" s="10"/>
      <c r="S658" s="10"/>
      <c r="T658" s="10"/>
      <c r="U658" s="10"/>
      <c r="V658" s="10"/>
      <c r="W658" s="10"/>
    </row>
    <row r="659" spans="18:23">
      <c r="R659" s="10"/>
      <c r="S659" s="10"/>
      <c r="T659" s="10"/>
      <c r="U659" s="10"/>
      <c r="V659" s="10"/>
      <c r="W659" s="10"/>
    </row>
    <row r="660" spans="18:23">
      <c r="R660" s="10"/>
      <c r="S660" s="10"/>
      <c r="T660" s="10"/>
      <c r="U660" s="10"/>
      <c r="V660" s="10"/>
      <c r="W660" s="10"/>
    </row>
    <row r="661" spans="18:23">
      <c r="R661" s="10"/>
      <c r="S661" s="10"/>
      <c r="T661" s="10"/>
      <c r="U661" s="10"/>
      <c r="V661" s="10"/>
      <c r="W661" s="10"/>
    </row>
    <row r="662" spans="18:23">
      <c r="R662" s="10"/>
      <c r="S662" s="10"/>
      <c r="T662" s="10"/>
      <c r="U662" s="10"/>
      <c r="V662" s="10"/>
      <c r="W662" s="10"/>
    </row>
    <row r="663" spans="18:23">
      <c r="R663" s="10"/>
      <c r="S663" s="10"/>
      <c r="T663" s="10"/>
      <c r="U663" s="10"/>
      <c r="V663" s="10"/>
      <c r="W663" s="10"/>
    </row>
    <row r="664" spans="18:23">
      <c r="R664" s="10"/>
      <c r="S664" s="10"/>
      <c r="T664" s="10"/>
      <c r="U664" s="10"/>
      <c r="V664" s="10"/>
      <c r="W664" s="10"/>
    </row>
    <row r="665" spans="18:23">
      <c r="R665" s="10"/>
      <c r="S665" s="10"/>
      <c r="T665" s="10"/>
      <c r="U665" s="10"/>
      <c r="V665" s="10"/>
      <c r="W665" s="10"/>
    </row>
    <row r="666" spans="18:23">
      <c r="R666" s="10"/>
      <c r="S666" s="10"/>
      <c r="T666" s="10"/>
      <c r="U666" s="10"/>
      <c r="V666" s="10"/>
      <c r="W666" s="10"/>
    </row>
    <row r="667" spans="18:23">
      <c r="R667" s="10"/>
      <c r="S667" s="10"/>
      <c r="T667" s="10"/>
      <c r="U667" s="10"/>
      <c r="V667" s="10"/>
      <c r="W667" s="10"/>
    </row>
    <row r="668" spans="18:23">
      <c r="R668" s="10"/>
      <c r="S668" s="10"/>
      <c r="T668" s="10"/>
      <c r="U668" s="10"/>
      <c r="V668" s="10"/>
      <c r="W668" s="10"/>
    </row>
    <row r="669" spans="18:23">
      <c r="R669" s="10"/>
      <c r="S669" s="10"/>
      <c r="T669" s="10"/>
      <c r="U669" s="10"/>
      <c r="V669" s="10"/>
      <c r="W669" s="10"/>
    </row>
    <row r="670" spans="18:23">
      <c r="R670" s="10"/>
      <c r="S670" s="10"/>
      <c r="T670" s="10"/>
      <c r="U670" s="10"/>
      <c r="V670" s="10"/>
      <c r="W670" s="10"/>
    </row>
    <row r="671" spans="18:23">
      <c r="R671" s="10"/>
      <c r="S671" s="10"/>
      <c r="T671" s="10"/>
      <c r="U671" s="10"/>
      <c r="V671" s="10"/>
      <c r="W671" s="10"/>
    </row>
    <row r="672" spans="18:23">
      <c r="R672" s="10"/>
      <c r="S672" s="10"/>
      <c r="T672" s="10"/>
      <c r="U672" s="10"/>
      <c r="V672" s="10"/>
      <c r="W672" s="10"/>
    </row>
    <row r="673" spans="18:23">
      <c r="R673" s="10"/>
      <c r="S673" s="10"/>
      <c r="T673" s="10"/>
      <c r="U673" s="10"/>
      <c r="V673" s="10"/>
      <c r="W673" s="10"/>
    </row>
    <row r="674" spans="18:23">
      <c r="R674" s="10"/>
      <c r="S674" s="10"/>
      <c r="T674" s="10"/>
      <c r="U674" s="10"/>
      <c r="V674" s="10"/>
      <c r="W674" s="10"/>
    </row>
    <row r="675" spans="18:23">
      <c r="R675" s="10"/>
      <c r="S675" s="10"/>
      <c r="T675" s="10"/>
      <c r="U675" s="10"/>
      <c r="V675" s="10"/>
      <c r="W675" s="10"/>
    </row>
    <row r="676" spans="18:23">
      <c r="R676" s="10"/>
      <c r="S676" s="10"/>
      <c r="T676" s="10"/>
      <c r="U676" s="10"/>
      <c r="V676" s="10"/>
      <c r="W676" s="10"/>
    </row>
    <row r="677" spans="18:23">
      <c r="R677" s="10"/>
      <c r="S677" s="10"/>
      <c r="T677" s="10"/>
      <c r="U677" s="10"/>
      <c r="V677" s="10"/>
      <c r="W677" s="10"/>
    </row>
    <row r="678" spans="18:23">
      <c r="R678" s="10"/>
      <c r="S678" s="10"/>
      <c r="T678" s="10"/>
      <c r="U678" s="10"/>
      <c r="V678" s="10"/>
      <c r="W678" s="10"/>
    </row>
    <row r="679" spans="18:23">
      <c r="R679" s="10"/>
      <c r="S679" s="10"/>
      <c r="T679" s="10"/>
      <c r="U679" s="10"/>
      <c r="V679" s="10"/>
      <c r="W679" s="10"/>
    </row>
    <row r="680" spans="18:23">
      <c r="R680" s="10"/>
      <c r="S680" s="10"/>
      <c r="T680" s="10"/>
      <c r="U680" s="10"/>
      <c r="V680" s="10"/>
      <c r="W680" s="10"/>
    </row>
    <row r="681" spans="18:23">
      <c r="R681" s="10"/>
      <c r="S681" s="10"/>
      <c r="T681" s="10"/>
      <c r="U681" s="10"/>
      <c r="V681" s="10"/>
      <c r="W681" s="10"/>
    </row>
    <row r="682" spans="18:23">
      <c r="R682" s="10"/>
      <c r="S682" s="10"/>
      <c r="T682" s="10"/>
      <c r="U682" s="10"/>
      <c r="V682" s="10"/>
      <c r="W682" s="10"/>
    </row>
    <row r="683" spans="18:23">
      <c r="R683" s="10"/>
      <c r="S683" s="10"/>
      <c r="T683" s="10"/>
      <c r="U683" s="10"/>
      <c r="V683" s="10"/>
      <c r="W683" s="10"/>
    </row>
    <row r="684" spans="18:23" ht="15">
      <c r="R684" s="10"/>
      <c r="S684" s="607"/>
      <c r="T684" s="607"/>
      <c r="U684" s="10"/>
      <c r="V684" s="10"/>
      <c r="W684" s="10"/>
    </row>
    <row r="685" spans="18:23">
      <c r="R685" s="10"/>
      <c r="S685" s="10"/>
      <c r="T685" s="10"/>
      <c r="U685" s="10"/>
      <c r="V685" s="10"/>
      <c r="W685" s="10"/>
    </row>
    <row r="686" spans="18:23">
      <c r="R686" s="10"/>
      <c r="S686" s="10"/>
      <c r="T686" s="10"/>
      <c r="U686" s="10"/>
      <c r="V686" s="10"/>
      <c r="W686" s="10"/>
    </row>
    <row r="687" spans="18:23">
      <c r="R687" s="10"/>
      <c r="S687" s="10"/>
      <c r="T687" s="10"/>
      <c r="U687" s="10"/>
      <c r="V687" s="10"/>
      <c r="W687" s="10"/>
    </row>
    <row r="688" spans="18:23">
      <c r="R688" s="10"/>
      <c r="S688" s="10"/>
      <c r="T688" s="10"/>
      <c r="U688" s="10"/>
      <c r="V688" s="10"/>
      <c r="W688" s="10"/>
    </row>
    <row r="689" spans="18:23">
      <c r="R689" s="10"/>
      <c r="S689" s="10"/>
      <c r="T689" s="10"/>
      <c r="U689" s="10"/>
      <c r="V689" s="10"/>
      <c r="W689" s="10"/>
    </row>
    <row r="690" spans="18:23">
      <c r="R690" s="10"/>
      <c r="S690" s="10"/>
      <c r="T690" s="10"/>
      <c r="U690" s="10"/>
      <c r="V690" s="10"/>
      <c r="W690" s="10"/>
    </row>
    <row r="691" spans="18:23">
      <c r="R691" s="10"/>
      <c r="S691" s="10"/>
      <c r="T691" s="10"/>
      <c r="U691" s="10"/>
      <c r="V691" s="10"/>
      <c r="W691" s="10"/>
    </row>
    <row r="692" spans="18:23">
      <c r="R692" s="10"/>
      <c r="S692" s="10"/>
      <c r="T692" s="10"/>
      <c r="U692" s="10"/>
      <c r="V692" s="10"/>
      <c r="W692" s="10"/>
    </row>
    <row r="693" spans="18:23">
      <c r="R693" s="10"/>
      <c r="S693" s="10"/>
      <c r="T693" s="10"/>
      <c r="U693" s="10"/>
      <c r="V693" s="10"/>
      <c r="W693" s="10"/>
    </row>
    <row r="694" spans="18:23">
      <c r="R694" s="10"/>
      <c r="S694" s="10"/>
      <c r="T694" s="10"/>
      <c r="U694" s="10"/>
      <c r="V694" s="10"/>
      <c r="W694" s="10"/>
    </row>
    <row r="695" spans="18:23">
      <c r="R695" s="10"/>
      <c r="S695" s="10"/>
      <c r="T695" s="10"/>
      <c r="U695" s="10"/>
      <c r="V695" s="10"/>
      <c r="W695" s="10"/>
    </row>
    <row r="696" spans="18:23">
      <c r="R696" s="10"/>
      <c r="S696" s="10"/>
      <c r="T696" s="10"/>
      <c r="U696" s="10"/>
      <c r="V696" s="10"/>
      <c r="W696" s="10"/>
    </row>
    <row r="697" spans="18:23">
      <c r="R697" s="10"/>
      <c r="S697" s="10"/>
      <c r="T697" s="10"/>
      <c r="U697" s="10"/>
      <c r="V697" s="10"/>
      <c r="W697" s="10"/>
    </row>
    <row r="698" spans="18:23">
      <c r="R698" s="10"/>
      <c r="S698" s="10"/>
      <c r="T698" s="10"/>
      <c r="U698" s="10"/>
      <c r="V698" s="10"/>
      <c r="W698" s="10"/>
    </row>
    <row r="699" spans="18:23">
      <c r="R699" s="10"/>
      <c r="S699" s="10"/>
      <c r="T699" s="10"/>
      <c r="U699" s="10"/>
      <c r="V699" s="10"/>
      <c r="W699" s="10"/>
    </row>
    <row r="700" spans="18:23">
      <c r="R700" s="10"/>
      <c r="S700" s="10"/>
      <c r="T700" s="10"/>
      <c r="U700" s="10"/>
      <c r="V700" s="10"/>
      <c r="W700" s="10"/>
    </row>
    <row r="701" spans="18:23">
      <c r="R701" s="10"/>
      <c r="S701" s="10"/>
      <c r="T701" s="10"/>
      <c r="U701" s="10"/>
      <c r="V701" s="10"/>
      <c r="W701" s="10"/>
    </row>
    <row r="702" spans="18:23">
      <c r="R702" s="10"/>
      <c r="S702" s="10"/>
      <c r="T702" s="10"/>
      <c r="U702" s="10"/>
      <c r="V702" s="10"/>
      <c r="W702" s="10"/>
    </row>
    <row r="703" spans="18:23">
      <c r="R703" s="10"/>
      <c r="S703" s="10"/>
      <c r="T703" s="10"/>
      <c r="U703" s="10"/>
      <c r="V703" s="10"/>
      <c r="W703" s="10"/>
    </row>
    <row r="704" spans="18:23">
      <c r="R704" s="10"/>
      <c r="S704" s="10"/>
      <c r="T704" s="10"/>
      <c r="U704" s="10"/>
      <c r="V704" s="10"/>
      <c r="W704" s="10"/>
    </row>
    <row r="705" spans="18:23">
      <c r="R705" s="10"/>
      <c r="S705" s="10"/>
      <c r="T705" s="10"/>
      <c r="U705" s="10"/>
      <c r="V705" s="10"/>
      <c r="W705" s="10"/>
    </row>
    <row r="706" spans="18:23">
      <c r="R706" s="10"/>
      <c r="S706" s="10"/>
      <c r="T706" s="10"/>
      <c r="U706" s="10"/>
      <c r="V706" s="10"/>
      <c r="W706" s="10"/>
    </row>
    <row r="707" spans="18:23">
      <c r="R707" s="10"/>
      <c r="S707" s="10"/>
      <c r="T707" s="10"/>
      <c r="U707" s="10"/>
      <c r="V707" s="10"/>
      <c r="W707" s="10"/>
    </row>
    <row r="708" spans="18:23">
      <c r="R708" s="10"/>
      <c r="S708" s="10"/>
      <c r="T708" s="10"/>
      <c r="U708" s="10"/>
      <c r="V708" s="10"/>
      <c r="W708" s="10"/>
    </row>
    <row r="709" spans="18:23">
      <c r="R709" s="10"/>
      <c r="S709" s="10"/>
      <c r="T709" s="10"/>
      <c r="U709" s="10"/>
      <c r="V709" s="10"/>
      <c r="W709" s="10"/>
    </row>
    <row r="710" spans="18:23">
      <c r="R710" s="10"/>
      <c r="S710" s="10"/>
      <c r="T710" s="10"/>
      <c r="U710" s="10"/>
      <c r="V710" s="10"/>
      <c r="W710" s="10"/>
    </row>
    <row r="711" spans="18:23">
      <c r="R711" s="10"/>
      <c r="S711" s="10"/>
      <c r="T711" s="10"/>
      <c r="U711" s="10"/>
      <c r="V711" s="10"/>
      <c r="W711" s="10"/>
    </row>
    <row r="712" spans="18:23">
      <c r="R712" s="10"/>
      <c r="S712" s="10"/>
      <c r="T712" s="10"/>
      <c r="U712" s="10"/>
      <c r="V712" s="10"/>
      <c r="W712" s="10"/>
    </row>
    <row r="713" spans="18:23">
      <c r="R713" s="10"/>
      <c r="S713" s="10"/>
      <c r="T713" s="10"/>
      <c r="U713" s="10"/>
      <c r="V713" s="10"/>
      <c r="W713" s="10"/>
    </row>
    <row r="714" spans="18:23">
      <c r="R714" s="10"/>
      <c r="S714" s="10"/>
      <c r="T714" s="10"/>
      <c r="U714" s="10"/>
      <c r="V714" s="10"/>
      <c r="W714" s="10"/>
    </row>
    <row r="715" spans="18:23">
      <c r="R715" s="10"/>
      <c r="S715" s="10"/>
      <c r="T715" s="10"/>
      <c r="U715" s="10"/>
      <c r="V715" s="10"/>
      <c r="W715" s="10"/>
    </row>
    <row r="716" spans="18:23">
      <c r="R716" s="10"/>
      <c r="S716" s="10"/>
      <c r="T716" s="10"/>
      <c r="U716" s="10"/>
      <c r="V716" s="10"/>
      <c r="W716" s="10"/>
    </row>
    <row r="717" spans="18:23">
      <c r="R717" s="10"/>
      <c r="S717" s="10"/>
      <c r="T717" s="10"/>
      <c r="U717" s="10"/>
      <c r="V717" s="10"/>
      <c r="W717" s="10"/>
    </row>
    <row r="718" spans="18:23">
      <c r="R718" s="10"/>
      <c r="S718" s="10"/>
      <c r="T718" s="10"/>
      <c r="U718" s="10"/>
      <c r="V718" s="10"/>
      <c r="W718" s="10"/>
    </row>
    <row r="719" spans="18:23">
      <c r="R719" s="10"/>
      <c r="S719" s="10"/>
      <c r="T719" s="10"/>
      <c r="U719" s="10"/>
      <c r="V719" s="10"/>
      <c r="W719" s="10"/>
    </row>
    <row r="720" spans="18:23">
      <c r="R720" s="10"/>
      <c r="S720" s="10"/>
      <c r="T720" s="10"/>
      <c r="U720" s="10"/>
      <c r="V720" s="10"/>
      <c r="W720" s="10"/>
    </row>
    <row r="721" spans="18:23">
      <c r="R721" s="10"/>
      <c r="S721" s="10"/>
      <c r="T721" s="10"/>
      <c r="U721" s="10"/>
      <c r="V721" s="10"/>
      <c r="W721" s="10"/>
    </row>
    <row r="722" spans="18:23">
      <c r="R722" s="10"/>
      <c r="S722" s="10"/>
      <c r="T722" s="10"/>
      <c r="U722" s="10"/>
      <c r="V722" s="10"/>
      <c r="W722" s="10"/>
    </row>
    <row r="723" spans="18:23">
      <c r="R723" s="10"/>
      <c r="S723" s="10"/>
      <c r="T723" s="10"/>
      <c r="U723" s="10"/>
      <c r="V723" s="10"/>
      <c r="W723" s="10"/>
    </row>
    <row r="724" spans="18:23">
      <c r="R724" s="10"/>
      <c r="S724" s="10"/>
      <c r="T724" s="10"/>
      <c r="U724" s="10"/>
      <c r="V724" s="10"/>
      <c r="W724" s="10"/>
    </row>
    <row r="725" spans="18:23">
      <c r="R725" s="10"/>
      <c r="S725" s="10"/>
      <c r="T725" s="10"/>
      <c r="U725" s="10"/>
      <c r="V725" s="10"/>
      <c r="W725" s="10"/>
    </row>
    <row r="726" spans="18:23">
      <c r="R726" s="10"/>
      <c r="S726" s="10"/>
      <c r="T726" s="10"/>
      <c r="U726" s="10"/>
      <c r="V726" s="10"/>
      <c r="W726" s="10"/>
    </row>
    <row r="727" spans="18:23">
      <c r="R727" s="10"/>
      <c r="S727" s="10"/>
      <c r="T727" s="10"/>
      <c r="U727" s="10"/>
      <c r="V727" s="10"/>
      <c r="W727" s="10"/>
    </row>
    <row r="728" spans="18:23">
      <c r="R728" s="10"/>
      <c r="S728" s="10"/>
      <c r="T728" s="10"/>
      <c r="U728" s="10"/>
      <c r="V728" s="10"/>
      <c r="W728" s="10"/>
    </row>
    <row r="729" spans="18:23">
      <c r="R729" s="10"/>
      <c r="S729" s="10"/>
      <c r="T729" s="10"/>
      <c r="U729" s="10"/>
      <c r="V729" s="10"/>
      <c r="W729" s="10"/>
    </row>
    <row r="730" spans="18:23">
      <c r="R730" s="10"/>
      <c r="S730" s="10"/>
      <c r="T730" s="10"/>
      <c r="U730" s="10"/>
      <c r="V730" s="10"/>
      <c r="W730" s="10"/>
    </row>
    <row r="731" spans="18:23">
      <c r="R731" s="10"/>
      <c r="S731" s="10"/>
      <c r="T731" s="10"/>
      <c r="U731" s="10"/>
      <c r="V731" s="10"/>
      <c r="W731" s="10"/>
    </row>
    <row r="732" spans="18:23">
      <c r="R732" s="10"/>
      <c r="S732" s="10"/>
      <c r="T732" s="10"/>
      <c r="U732" s="10"/>
      <c r="V732" s="10"/>
      <c r="W732" s="10"/>
    </row>
    <row r="733" spans="18:23">
      <c r="R733" s="10"/>
      <c r="S733" s="10"/>
      <c r="T733" s="10"/>
      <c r="U733" s="10"/>
      <c r="V733" s="10"/>
      <c r="W733" s="10"/>
    </row>
    <row r="734" spans="18:23">
      <c r="R734" s="10"/>
      <c r="S734" s="10"/>
      <c r="T734" s="10"/>
      <c r="U734" s="10"/>
      <c r="V734" s="10"/>
      <c r="W734" s="10"/>
    </row>
    <row r="735" spans="18:23">
      <c r="R735" s="10"/>
      <c r="S735" s="10"/>
      <c r="T735" s="10"/>
      <c r="U735" s="10"/>
      <c r="V735" s="10"/>
      <c r="W735" s="10"/>
    </row>
    <row r="736" spans="18:23" ht="15">
      <c r="R736" s="10"/>
      <c r="S736" s="607"/>
      <c r="T736" s="607"/>
      <c r="U736" s="10"/>
      <c r="V736" s="10"/>
      <c r="W736" s="10"/>
    </row>
    <row r="737" spans="18:23">
      <c r="R737" s="10"/>
      <c r="S737" s="10"/>
      <c r="T737" s="10"/>
      <c r="U737" s="10"/>
      <c r="V737" s="10"/>
      <c r="W737" s="10"/>
    </row>
    <row r="738" spans="18:23">
      <c r="R738" s="10"/>
      <c r="S738" s="10"/>
      <c r="T738" s="10"/>
      <c r="U738" s="10"/>
      <c r="V738" s="10"/>
      <c r="W738" s="10"/>
    </row>
    <row r="739" spans="18:23">
      <c r="R739" s="10"/>
      <c r="S739" s="10"/>
      <c r="T739" s="10"/>
      <c r="U739" s="10"/>
      <c r="V739" s="10"/>
      <c r="W739" s="10"/>
    </row>
    <row r="740" spans="18:23">
      <c r="R740" s="10"/>
      <c r="S740" s="10"/>
      <c r="T740" s="10"/>
      <c r="U740" s="10"/>
      <c r="V740" s="10"/>
      <c r="W740" s="10"/>
    </row>
    <row r="741" spans="18:23">
      <c r="R741" s="10"/>
      <c r="S741" s="10"/>
      <c r="T741" s="10"/>
      <c r="U741" s="10"/>
      <c r="V741" s="10"/>
      <c r="W741" s="10"/>
    </row>
    <row r="742" spans="18:23">
      <c r="R742" s="10"/>
      <c r="S742" s="10"/>
      <c r="T742" s="10"/>
      <c r="U742" s="10"/>
      <c r="V742" s="10"/>
      <c r="W742" s="10"/>
    </row>
    <row r="743" spans="18:23">
      <c r="R743" s="10"/>
      <c r="S743" s="10"/>
      <c r="T743" s="10"/>
      <c r="U743" s="10"/>
      <c r="V743" s="10"/>
      <c r="W743" s="10"/>
    </row>
    <row r="744" spans="18:23">
      <c r="R744" s="10"/>
      <c r="S744" s="10"/>
      <c r="T744" s="10"/>
      <c r="U744" s="10"/>
      <c r="V744" s="10"/>
      <c r="W744" s="10"/>
    </row>
    <row r="745" spans="18:23">
      <c r="R745" s="10"/>
      <c r="S745" s="10"/>
      <c r="T745" s="10"/>
      <c r="U745" s="10"/>
      <c r="V745" s="10"/>
      <c r="W745" s="10"/>
    </row>
    <row r="746" spans="18:23">
      <c r="R746" s="10"/>
      <c r="S746" s="10"/>
      <c r="T746" s="10"/>
      <c r="U746" s="10"/>
      <c r="V746" s="10"/>
      <c r="W746" s="10"/>
    </row>
    <row r="747" spans="18:23">
      <c r="R747" s="10"/>
      <c r="S747" s="10"/>
      <c r="T747" s="10"/>
      <c r="U747" s="10"/>
      <c r="V747" s="10"/>
      <c r="W747" s="10"/>
    </row>
    <row r="748" spans="18:23">
      <c r="R748" s="10"/>
      <c r="S748" s="10"/>
      <c r="T748" s="10"/>
      <c r="U748" s="10"/>
      <c r="V748" s="10"/>
      <c r="W748" s="10"/>
    </row>
    <row r="749" spans="18:23">
      <c r="R749" s="10"/>
      <c r="S749" s="10"/>
      <c r="T749" s="10"/>
      <c r="U749" s="10"/>
      <c r="V749" s="10"/>
      <c r="W749" s="10"/>
    </row>
    <row r="750" spans="18:23">
      <c r="R750" s="10"/>
      <c r="S750" s="10"/>
      <c r="T750" s="10"/>
      <c r="U750" s="10"/>
      <c r="V750" s="10"/>
      <c r="W750" s="10"/>
    </row>
    <row r="751" spans="18:23">
      <c r="R751" s="10"/>
      <c r="S751" s="10"/>
      <c r="T751" s="10"/>
      <c r="U751" s="10"/>
      <c r="V751" s="10"/>
      <c r="W751" s="10"/>
    </row>
    <row r="752" spans="18:23">
      <c r="R752" s="10"/>
      <c r="S752" s="10"/>
      <c r="T752" s="10"/>
      <c r="U752" s="10"/>
      <c r="V752" s="10"/>
      <c r="W752" s="10"/>
    </row>
    <row r="753" spans="18:23">
      <c r="R753" s="10"/>
      <c r="S753" s="10"/>
      <c r="T753" s="10"/>
      <c r="U753" s="10"/>
      <c r="V753" s="10"/>
      <c r="W753" s="10"/>
    </row>
    <row r="754" spans="18:23">
      <c r="R754" s="10"/>
      <c r="S754" s="10"/>
      <c r="T754" s="10"/>
      <c r="U754" s="10"/>
      <c r="V754" s="10"/>
      <c r="W754" s="10"/>
    </row>
    <row r="755" spans="18:23">
      <c r="R755" s="10"/>
      <c r="S755" s="10"/>
      <c r="T755" s="10"/>
      <c r="U755" s="10"/>
      <c r="V755" s="10"/>
      <c r="W755" s="10"/>
    </row>
    <row r="756" spans="18:23">
      <c r="R756" s="10"/>
      <c r="S756" s="10"/>
      <c r="T756" s="10"/>
      <c r="U756" s="10"/>
      <c r="V756" s="10"/>
      <c r="W756" s="10"/>
    </row>
    <row r="757" spans="18:23">
      <c r="R757" s="10"/>
      <c r="S757" s="10"/>
      <c r="T757" s="10"/>
      <c r="U757" s="10"/>
      <c r="V757" s="10"/>
      <c r="W757" s="10"/>
    </row>
    <row r="758" spans="18:23">
      <c r="R758" s="10"/>
      <c r="S758" s="10"/>
      <c r="T758" s="10"/>
      <c r="U758" s="10"/>
      <c r="V758" s="10"/>
      <c r="W758" s="10"/>
    </row>
    <row r="759" spans="18:23">
      <c r="R759" s="10"/>
      <c r="S759" s="10"/>
      <c r="T759" s="10"/>
      <c r="U759" s="10"/>
      <c r="V759" s="10"/>
      <c r="W759" s="10"/>
    </row>
    <row r="760" spans="18:23">
      <c r="R760" s="10"/>
      <c r="S760" s="10"/>
      <c r="T760" s="10"/>
      <c r="U760" s="10"/>
      <c r="V760" s="10"/>
      <c r="W760" s="10"/>
    </row>
    <row r="761" spans="18:23">
      <c r="R761" s="10"/>
      <c r="S761" s="10"/>
      <c r="T761" s="10"/>
      <c r="U761" s="10"/>
      <c r="V761" s="10"/>
      <c r="W761" s="10"/>
    </row>
    <row r="762" spans="18:23">
      <c r="R762" s="10"/>
      <c r="S762" s="10"/>
      <c r="T762" s="10"/>
      <c r="U762" s="10"/>
      <c r="V762" s="10"/>
      <c r="W762" s="10"/>
    </row>
    <row r="763" spans="18:23">
      <c r="R763" s="10"/>
      <c r="S763" s="10"/>
      <c r="T763" s="10"/>
      <c r="U763" s="10"/>
      <c r="V763" s="10"/>
      <c r="W763" s="10"/>
    </row>
    <row r="764" spans="18:23">
      <c r="R764" s="10"/>
      <c r="S764" s="10"/>
      <c r="T764" s="10"/>
      <c r="U764" s="10"/>
      <c r="V764" s="10"/>
      <c r="W764" s="10"/>
    </row>
    <row r="765" spans="18:23">
      <c r="R765" s="10"/>
      <c r="S765" s="10"/>
      <c r="T765" s="10"/>
      <c r="U765" s="10"/>
      <c r="V765" s="10"/>
      <c r="W765" s="10"/>
    </row>
    <row r="766" spans="18:23">
      <c r="R766" s="10"/>
      <c r="S766" s="10"/>
      <c r="T766" s="10"/>
      <c r="U766" s="10"/>
      <c r="V766" s="10"/>
      <c r="W766" s="10"/>
    </row>
    <row r="767" spans="18:23">
      <c r="R767" s="10"/>
      <c r="S767" s="10"/>
      <c r="T767" s="10"/>
      <c r="U767" s="10"/>
      <c r="V767" s="10"/>
      <c r="W767" s="10"/>
    </row>
    <row r="768" spans="18:23">
      <c r="R768" s="10"/>
      <c r="S768" s="10"/>
      <c r="T768" s="10"/>
      <c r="U768" s="10"/>
      <c r="V768" s="10"/>
      <c r="W768" s="10"/>
    </row>
    <row r="769" spans="18:23">
      <c r="R769" s="10"/>
      <c r="S769" s="10"/>
      <c r="T769" s="10"/>
      <c r="U769" s="10"/>
      <c r="V769" s="10"/>
      <c r="W769" s="10"/>
    </row>
    <row r="770" spans="18:23">
      <c r="R770" s="10"/>
      <c r="S770" s="10"/>
      <c r="T770" s="10"/>
      <c r="U770" s="10"/>
      <c r="V770" s="10"/>
      <c r="W770" s="10"/>
    </row>
    <row r="771" spans="18:23">
      <c r="R771" s="10"/>
      <c r="S771" s="10"/>
      <c r="T771" s="10"/>
      <c r="U771" s="10"/>
      <c r="V771" s="10"/>
      <c r="W771" s="10"/>
    </row>
    <row r="772" spans="18:23">
      <c r="R772" s="10"/>
      <c r="S772" s="10"/>
      <c r="T772" s="10"/>
      <c r="U772" s="10"/>
      <c r="V772" s="10"/>
      <c r="W772" s="10"/>
    </row>
    <row r="773" spans="18:23">
      <c r="R773" s="10"/>
      <c r="S773" s="10"/>
      <c r="T773" s="10"/>
      <c r="U773" s="10"/>
      <c r="V773" s="10"/>
      <c r="W773" s="10"/>
    </row>
    <row r="774" spans="18:23">
      <c r="R774" s="10"/>
      <c r="S774" s="10"/>
      <c r="T774" s="10"/>
      <c r="U774" s="10"/>
      <c r="V774" s="10"/>
      <c r="W774" s="10"/>
    </row>
    <row r="775" spans="18:23">
      <c r="R775" s="10"/>
      <c r="S775" s="10"/>
      <c r="T775" s="10"/>
      <c r="U775" s="10"/>
      <c r="V775" s="10"/>
      <c r="W775" s="10"/>
    </row>
    <row r="776" spans="18:23">
      <c r="R776" s="10"/>
      <c r="S776" s="10"/>
      <c r="T776" s="10"/>
      <c r="U776" s="10"/>
      <c r="V776" s="10"/>
      <c r="W776" s="10"/>
    </row>
    <row r="777" spans="18:23">
      <c r="R777" s="10"/>
      <c r="S777" s="10"/>
      <c r="T777" s="10"/>
      <c r="U777" s="10"/>
      <c r="V777" s="10"/>
      <c r="W777" s="10"/>
    </row>
    <row r="778" spans="18:23">
      <c r="R778" s="10"/>
      <c r="S778" s="10"/>
      <c r="T778" s="10"/>
      <c r="U778" s="10"/>
      <c r="V778" s="10"/>
      <c r="W778" s="10"/>
    </row>
    <row r="779" spans="18:23">
      <c r="R779" s="10"/>
      <c r="S779" s="10"/>
      <c r="T779" s="10"/>
      <c r="U779" s="10"/>
      <c r="V779" s="10"/>
      <c r="W779" s="10"/>
    </row>
    <row r="780" spans="18:23">
      <c r="R780" s="10"/>
      <c r="S780" s="10"/>
      <c r="T780" s="10"/>
      <c r="U780" s="10"/>
      <c r="V780" s="10"/>
      <c r="W780" s="10"/>
    </row>
    <row r="781" spans="18:23">
      <c r="R781" s="10"/>
      <c r="S781" s="10"/>
      <c r="T781" s="10"/>
      <c r="U781" s="10"/>
      <c r="V781" s="10"/>
      <c r="W781" s="10"/>
    </row>
    <row r="782" spans="18:23">
      <c r="R782" s="10"/>
      <c r="S782" s="10"/>
      <c r="T782" s="10"/>
      <c r="U782" s="10"/>
      <c r="V782" s="10"/>
      <c r="W782" s="10"/>
    </row>
    <row r="783" spans="18:23">
      <c r="R783" s="10"/>
      <c r="S783" s="10"/>
      <c r="T783" s="10"/>
      <c r="U783" s="10"/>
      <c r="V783" s="10"/>
      <c r="W783" s="10"/>
    </row>
    <row r="784" spans="18:23">
      <c r="R784" s="10"/>
      <c r="S784" s="10"/>
      <c r="T784" s="10"/>
      <c r="U784" s="10"/>
      <c r="V784" s="10"/>
      <c r="W784" s="10"/>
    </row>
    <row r="785" spans="18:23">
      <c r="R785" s="10"/>
      <c r="S785" s="10"/>
      <c r="T785" s="10"/>
      <c r="U785" s="10"/>
      <c r="V785" s="10"/>
      <c r="W785" s="10"/>
    </row>
    <row r="786" spans="18:23">
      <c r="R786" s="10"/>
      <c r="S786" s="10"/>
      <c r="T786" s="10"/>
      <c r="U786" s="10"/>
      <c r="V786" s="10"/>
      <c r="W786" s="10"/>
    </row>
    <row r="787" spans="18:23">
      <c r="R787" s="10"/>
      <c r="S787" s="10"/>
      <c r="T787" s="10"/>
      <c r="U787" s="10"/>
      <c r="V787" s="10"/>
      <c r="W787" s="10"/>
    </row>
    <row r="788" spans="18:23" ht="15">
      <c r="R788" s="10"/>
      <c r="S788" s="607"/>
      <c r="T788" s="607"/>
      <c r="U788" s="10"/>
      <c r="V788" s="10"/>
      <c r="W788" s="10"/>
    </row>
    <row r="789" spans="18:23">
      <c r="R789" s="10"/>
      <c r="S789" s="10"/>
      <c r="T789" s="10"/>
      <c r="U789" s="10"/>
      <c r="V789" s="10"/>
      <c r="W789" s="10"/>
    </row>
    <row r="790" spans="18:23">
      <c r="R790" s="10"/>
      <c r="S790" s="10"/>
      <c r="T790" s="10"/>
      <c r="U790" s="10"/>
      <c r="V790" s="10"/>
      <c r="W790" s="10"/>
    </row>
    <row r="791" spans="18:23">
      <c r="R791" s="10"/>
      <c r="S791" s="10"/>
      <c r="T791" s="10"/>
      <c r="U791" s="10"/>
      <c r="V791" s="10"/>
      <c r="W791" s="10"/>
    </row>
    <row r="792" spans="18:23">
      <c r="R792" s="10"/>
      <c r="S792" s="10"/>
      <c r="T792" s="10"/>
      <c r="U792" s="10"/>
      <c r="V792" s="10"/>
      <c r="W792" s="10"/>
    </row>
    <row r="793" spans="18:23">
      <c r="R793" s="10"/>
      <c r="S793" s="10"/>
      <c r="T793" s="10"/>
      <c r="U793" s="10"/>
      <c r="V793" s="10"/>
      <c r="W793" s="10"/>
    </row>
    <row r="794" spans="18:23">
      <c r="R794" s="10"/>
      <c r="S794" s="10"/>
      <c r="T794" s="10"/>
      <c r="U794" s="10"/>
      <c r="V794" s="10"/>
      <c r="W794" s="10"/>
    </row>
    <row r="795" spans="18:23">
      <c r="R795" s="10"/>
      <c r="S795" s="10"/>
      <c r="T795" s="10"/>
      <c r="U795" s="10"/>
      <c r="V795" s="10"/>
      <c r="W795" s="10"/>
    </row>
    <row r="796" spans="18:23">
      <c r="R796" s="10"/>
      <c r="S796" s="10"/>
      <c r="T796" s="10"/>
      <c r="U796" s="10"/>
      <c r="V796" s="10"/>
      <c r="W796" s="10"/>
    </row>
    <row r="797" spans="18:23">
      <c r="R797" s="10"/>
      <c r="S797" s="10"/>
      <c r="T797" s="10"/>
      <c r="U797" s="10"/>
      <c r="V797" s="10"/>
      <c r="W797" s="10"/>
    </row>
    <row r="798" spans="18:23">
      <c r="R798" s="10"/>
      <c r="S798" s="10"/>
      <c r="T798" s="10"/>
      <c r="U798" s="10"/>
      <c r="V798" s="10"/>
      <c r="W798" s="10"/>
    </row>
    <row r="799" spans="18:23">
      <c r="R799" s="10"/>
      <c r="S799" s="10"/>
      <c r="T799" s="10"/>
      <c r="U799" s="10"/>
      <c r="V799" s="10"/>
      <c r="W799" s="10"/>
    </row>
    <row r="800" spans="18:23">
      <c r="R800" s="10"/>
      <c r="S800" s="10"/>
      <c r="T800" s="10"/>
      <c r="U800" s="10"/>
      <c r="V800" s="10"/>
      <c r="W800" s="10"/>
    </row>
    <row r="801" spans="18:23">
      <c r="R801" s="10"/>
      <c r="S801" s="10"/>
      <c r="T801" s="10"/>
      <c r="U801" s="10"/>
      <c r="V801" s="10"/>
      <c r="W801" s="10"/>
    </row>
    <row r="802" spans="18:23">
      <c r="R802" s="10"/>
      <c r="S802" s="10"/>
      <c r="T802" s="10"/>
      <c r="U802" s="10"/>
      <c r="V802" s="10"/>
      <c r="W802" s="10"/>
    </row>
    <row r="803" spans="18:23">
      <c r="R803" s="10"/>
      <c r="S803" s="10"/>
      <c r="T803" s="10"/>
      <c r="U803" s="10"/>
      <c r="V803" s="10"/>
      <c r="W803" s="10"/>
    </row>
    <row r="804" spans="18:23">
      <c r="R804" s="10"/>
      <c r="S804" s="10"/>
      <c r="T804" s="10"/>
      <c r="U804" s="10"/>
      <c r="V804" s="10"/>
      <c r="W804" s="10"/>
    </row>
    <row r="805" spans="18:23">
      <c r="R805" s="10"/>
      <c r="S805" s="10"/>
      <c r="T805" s="10"/>
      <c r="U805" s="10"/>
      <c r="V805" s="10"/>
      <c r="W805" s="10"/>
    </row>
    <row r="806" spans="18:23">
      <c r="R806" s="10"/>
      <c r="S806" s="10"/>
      <c r="T806" s="10"/>
      <c r="U806" s="10"/>
      <c r="V806" s="10"/>
      <c r="W806" s="10"/>
    </row>
    <row r="807" spans="18:23">
      <c r="R807" s="10"/>
      <c r="S807" s="10"/>
      <c r="T807" s="10"/>
      <c r="U807" s="10"/>
      <c r="V807" s="10"/>
      <c r="W807" s="10"/>
    </row>
    <row r="808" spans="18:23">
      <c r="R808" s="10"/>
      <c r="S808" s="10"/>
      <c r="T808" s="10"/>
      <c r="U808" s="10"/>
      <c r="V808" s="10"/>
      <c r="W808" s="10"/>
    </row>
    <row r="809" spans="18:23">
      <c r="R809" s="10"/>
      <c r="S809" s="10"/>
      <c r="T809" s="10"/>
      <c r="U809" s="10"/>
      <c r="V809" s="10"/>
      <c r="W809" s="10"/>
    </row>
    <row r="810" spans="18:23">
      <c r="R810" s="10"/>
      <c r="S810" s="10"/>
      <c r="T810" s="10"/>
      <c r="U810" s="10"/>
      <c r="V810" s="10"/>
      <c r="W810" s="10"/>
    </row>
    <row r="811" spans="18:23">
      <c r="R811" s="10"/>
      <c r="S811" s="10"/>
      <c r="T811" s="10"/>
      <c r="U811" s="10"/>
      <c r="V811" s="10"/>
      <c r="W811" s="10"/>
    </row>
    <row r="812" spans="18:23">
      <c r="R812" s="10"/>
      <c r="S812" s="10"/>
      <c r="T812" s="10"/>
      <c r="U812" s="10"/>
      <c r="V812" s="10"/>
      <c r="W812" s="10"/>
    </row>
    <row r="813" spans="18:23">
      <c r="R813" s="10"/>
      <c r="S813" s="10"/>
      <c r="T813" s="10"/>
      <c r="U813" s="10"/>
      <c r="V813" s="10"/>
      <c r="W813" s="10"/>
    </row>
    <row r="814" spans="18:23">
      <c r="R814" s="10"/>
      <c r="S814" s="10"/>
      <c r="T814" s="10"/>
      <c r="U814" s="10"/>
      <c r="V814" s="10"/>
      <c r="W814" s="10"/>
    </row>
    <row r="815" spans="18:23">
      <c r="R815" s="10"/>
      <c r="S815" s="10"/>
      <c r="T815" s="10"/>
      <c r="U815" s="10"/>
      <c r="V815" s="10"/>
      <c r="W815" s="10"/>
    </row>
    <row r="816" spans="18:23">
      <c r="R816" s="10"/>
      <c r="S816" s="10"/>
      <c r="T816" s="10"/>
      <c r="U816" s="10"/>
      <c r="V816" s="10"/>
      <c r="W816" s="10"/>
    </row>
    <row r="817" spans="18:23">
      <c r="R817" s="10"/>
      <c r="S817" s="10"/>
      <c r="T817" s="10"/>
      <c r="U817" s="10"/>
      <c r="V817" s="10"/>
      <c r="W817" s="10"/>
    </row>
    <row r="818" spans="18:23">
      <c r="R818" s="10"/>
      <c r="S818" s="10"/>
      <c r="T818" s="10"/>
      <c r="U818" s="10"/>
      <c r="V818" s="10"/>
      <c r="W818" s="10"/>
    </row>
    <row r="819" spans="18:23">
      <c r="R819" s="10"/>
      <c r="S819" s="10"/>
      <c r="T819" s="10"/>
      <c r="U819" s="10"/>
      <c r="V819" s="10"/>
      <c r="W819" s="10"/>
    </row>
    <row r="820" spans="18:23">
      <c r="R820" s="10"/>
      <c r="S820" s="10"/>
      <c r="T820" s="10"/>
      <c r="U820" s="10"/>
      <c r="V820" s="10"/>
      <c r="W820" s="10"/>
    </row>
    <row r="821" spans="18:23">
      <c r="R821" s="10"/>
      <c r="S821" s="10"/>
      <c r="T821" s="10"/>
      <c r="U821" s="10"/>
      <c r="V821" s="10"/>
      <c r="W821" s="10"/>
    </row>
    <row r="822" spans="18:23">
      <c r="R822" s="10"/>
      <c r="S822" s="10"/>
      <c r="T822" s="10"/>
      <c r="U822" s="10"/>
      <c r="V822" s="10"/>
      <c r="W822" s="10"/>
    </row>
    <row r="823" spans="18:23">
      <c r="R823" s="10"/>
      <c r="S823" s="10"/>
      <c r="T823" s="10"/>
      <c r="U823" s="10"/>
      <c r="V823" s="10"/>
      <c r="W823" s="10"/>
    </row>
    <row r="824" spans="18:23">
      <c r="R824" s="10"/>
      <c r="S824" s="10"/>
      <c r="T824" s="10"/>
      <c r="U824" s="10"/>
      <c r="V824" s="10"/>
      <c r="W824" s="10"/>
    </row>
    <row r="825" spans="18:23">
      <c r="R825" s="10"/>
      <c r="S825" s="10"/>
      <c r="T825" s="10"/>
      <c r="U825" s="10"/>
      <c r="V825" s="10"/>
      <c r="W825" s="10"/>
    </row>
    <row r="826" spans="18:23">
      <c r="R826" s="10"/>
      <c r="S826" s="10"/>
      <c r="T826" s="10"/>
      <c r="U826" s="10"/>
      <c r="V826" s="10"/>
      <c r="W826" s="10"/>
    </row>
    <row r="827" spans="18:23">
      <c r="R827" s="10"/>
      <c r="S827" s="10"/>
      <c r="T827" s="10"/>
      <c r="U827" s="10"/>
      <c r="V827" s="10"/>
      <c r="W827" s="10"/>
    </row>
    <row r="828" spans="18:23">
      <c r="R828" s="10"/>
      <c r="S828" s="10"/>
      <c r="T828" s="10"/>
      <c r="U828" s="10"/>
      <c r="V828" s="10"/>
      <c r="W828" s="10"/>
    </row>
    <row r="829" spans="18:23">
      <c r="R829" s="10"/>
      <c r="S829" s="10"/>
      <c r="T829" s="10"/>
      <c r="U829" s="10"/>
      <c r="V829" s="10"/>
      <c r="W829" s="10"/>
    </row>
    <row r="830" spans="18:23">
      <c r="R830" s="10"/>
      <c r="S830" s="10"/>
      <c r="T830" s="10"/>
      <c r="U830" s="10"/>
      <c r="V830" s="10"/>
      <c r="W830" s="10"/>
    </row>
    <row r="831" spans="18:23">
      <c r="R831" s="10"/>
      <c r="S831" s="10"/>
      <c r="T831" s="10"/>
      <c r="U831" s="10"/>
      <c r="V831" s="10"/>
      <c r="W831" s="10"/>
    </row>
    <row r="832" spans="18:23">
      <c r="R832" s="10"/>
      <c r="S832" s="10"/>
      <c r="T832" s="10"/>
      <c r="U832" s="10"/>
      <c r="V832" s="10"/>
      <c r="W832" s="10"/>
    </row>
    <row r="833" spans="18:23">
      <c r="R833" s="10"/>
      <c r="S833" s="10"/>
      <c r="T833" s="10"/>
      <c r="U833" s="10"/>
      <c r="V833" s="10"/>
      <c r="W833" s="10"/>
    </row>
    <row r="834" spans="18:23">
      <c r="R834" s="10"/>
      <c r="S834" s="10"/>
      <c r="T834" s="10"/>
      <c r="U834" s="10"/>
      <c r="V834" s="10"/>
      <c r="W834" s="10"/>
    </row>
    <row r="835" spans="18:23">
      <c r="R835" s="10"/>
      <c r="S835" s="10"/>
      <c r="T835" s="10"/>
      <c r="U835" s="10"/>
      <c r="V835" s="10"/>
      <c r="W835" s="10"/>
    </row>
    <row r="836" spans="18:23">
      <c r="R836" s="10"/>
      <c r="S836" s="10"/>
      <c r="T836" s="10"/>
      <c r="U836" s="10"/>
      <c r="V836" s="10"/>
      <c r="W836" s="10"/>
    </row>
    <row r="837" spans="18:23">
      <c r="R837" s="10"/>
      <c r="S837" s="10"/>
      <c r="T837" s="10"/>
      <c r="U837" s="10"/>
      <c r="V837" s="10"/>
      <c r="W837" s="10"/>
    </row>
    <row r="838" spans="18:23">
      <c r="R838" s="10"/>
      <c r="S838" s="10"/>
      <c r="T838" s="10"/>
      <c r="U838" s="10"/>
      <c r="V838" s="10"/>
      <c r="W838" s="10"/>
    </row>
    <row r="839" spans="18:23">
      <c r="R839" s="10"/>
      <c r="S839" s="10"/>
      <c r="T839" s="10"/>
      <c r="U839" s="10"/>
      <c r="V839" s="10"/>
      <c r="W839" s="10"/>
    </row>
    <row r="840" spans="18:23" ht="15">
      <c r="R840" s="10"/>
      <c r="S840" s="607"/>
      <c r="T840" s="607"/>
      <c r="U840" s="10"/>
      <c r="V840" s="10"/>
      <c r="W840" s="10"/>
    </row>
    <row r="841" spans="18:23">
      <c r="R841" s="10"/>
      <c r="S841" s="10"/>
      <c r="T841" s="10"/>
      <c r="U841" s="10"/>
      <c r="V841" s="10"/>
      <c r="W841" s="10"/>
    </row>
    <row r="842" spans="18:23">
      <c r="R842" s="10"/>
      <c r="S842" s="10"/>
      <c r="T842" s="10"/>
      <c r="U842" s="10"/>
      <c r="V842" s="10"/>
      <c r="W842" s="10"/>
    </row>
    <row r="843" spans="18:23">
      <c r="R843" s="10"/>
      <c r="S843" s="10"/>
      <c r="T843" s="10"/>
      <c r="U843" s="10"/>
      <c r="V843" s="10"/>
      <c r="W843" s="10"/>
    </row>
    <row r="844" spans="18:23">
      <c r="R844" s="10"/>
      <c r="S844" s="10"/>
      <c r="T844" s="10"/>
      <c r="U844" s="10"/>
      <c r="V844" s="10"/>
      <c r="W844" s="10"/>
    </row>
    <row r="845" spans="18:23">
      <c r="R845" s="10"/>
      <c r="S845" s="10"/>
      <c r="T845" s="10"/>
      <c r="U845" s="10"/>
      <c r="V845" s="10"/>
      <c r="W845" s="10"/>
    </row>
    <row r="846" spans="18:23">
      <c r="R846" s="10"/>
      <c r="S846" s="10"/>
      <c r="T846" s="10"/>
      <c r="U846" s="10"/>
      <c r="V846" s="10"/>
      <c r="W846" s="10"/>
    </row>
    <row r="847" spans="18:23">
      <c r="R847" s="10"/>
      <c r="S847" s="10"/>
      <c r="T847" s="10"/>
      <c r="U847" s="10"/>
      <c r="V847" s="10"/>
      <c r="W847" s="10"/>
    </row>
    <row r="848" spans="18:23">
      <c r="R848" s="10"/>
      <c r="S848" s="10"/>
      <c r="T848" s="10"/>
      <c r="U848" s="10"/>
      <c r="V848" s="10"/>
      <c r="W848" s="10"/>
    </row>
    <row r="849" spans="18:23">
      <c r="R849" s="10"/>
      <c r="S849" s="10"/>
      <c r="T849" s="10"/>
      <c r="U849" s="10"/>
      <c r="V849" s="10"/>
      <c r="W849" s="10"/>
    </row>
    <row r="850" spans="18:23">
      <c r="R850" s="10"/>
      <c r="S850" s="10"/>
      <c r="T850" s="10"/>
      <c r="U850" s="10"/>
      <c r="V850" s="10"/>
      <c r="W850" s="10"/>
    </row>
    <row r="851" spans="18:23">
      <c r="R851" s="10"/>
      <c r="S851" s="10"/>
      <c r="T851" s="10"/>
      <c r="U851" s="10"/>
      <c r="V851" s="10"/>
      <c r="W851" s="10"/>
    </row>
    <row r="852" spans="18:23">
      <c r="R852" s="10"/>
      <c r="S852" s="10"/>
      <c r="T852" s="10"/>
      <c r="U852" s="10"/>
      <c r="V852" s="10"/>
      <c r="W852" s="10"/>
    </row>
    <row r="853" spans="18:23">
      <c r="R853" s="10"/>
      <c r="S853" s="10"/>
      <c r="T853" s="10"/>
      <c r="U853" s="10"/>
      <c r="V853" s="10"/>
      <c r="W853" s="10"/>
    </row>
    <row r="854" spans="18:23">
      <c r="R854" s="10"/>
      <c r="S854" s="10"/>
      <c r="T854" s="10"/>
      <c r="U854" s="10"/>
      <c r="V854" s="10"/>
      <c r="W854" s="10"/>
    </row>
    <row r="855" spans="18:23">
      <c r="R855" s="10"/>
      <c r="S855" s="10"/>
      <c r="T855" s="10"/>
      <c r="U855" s="10"/>
      <c r="V855" s="10"/>
      <c r="W855" s="10"/>
    </row>
    <row r="856" spans="18:23">
      <c r="R856" s="10"/>
      <c r="S856" s="10"/>
      <c r="T856" s="10"/>
      <c r="U856" s="10"/>
      <c r="V856" s="10"/>
      <c r="W856" s="10"/>
    </row>
    <row r="857" spans="18:23">
      <c r="R857" s="10"/>
      <c r="S857" s="10"/>
      <c r="T857" s="10"/>
      <c r="U857" s="10"/>
      <c r="V857" s="10"/>
      <c r="W857" s="10"/>
    </row>
    <row r="858" spans="18:23">
      <c r="R858" s="10"/>
      <c r="S858" s="10"/>
      <c r="T858" s="10"/>
      <c r="U858" s="10"/>
      <c r="V858" s="10"/>
      <c r="W858" s="10"/>
    </row>
    <row r="859" spans="18:23">
      <c r="R859" s="10"/>
      <c r="S859" s="10"/>
      <c r="T859" s="10"/>
      <c r="U859" s="10"/>
      <c r="V859" s="10"/>
      <c r="W859" s="10"/>
    </row>
    <row r="860" spans="18:23">
      <c r="R860" s="10"/>
      <c r="S860" s="10"/>
      <c r="T860" s="10"/>
      <c r="U860" s="10"/>
      <c r="V860" s="10"/>
      <c r="W860" s="10"/>
    </row>
    <row r="861" spans="18:23">
      <c r="R861" s="10"/>
      <c r="S861" s="10"/>
      <c r="T861" s="10"/>
      <c r="U861" s="10"/>
      <c r="V861" s="10"/>
      <c r="W861" s="10"/>
    </row>
    <row r="862" spans="18:23">
      <c r="R862" s="10"/>
      <c r="S862" s="10"/>
      <c r="T862" s="10"/>
      <c r="U862" s="10"/>
      <c r="V862" s="10"/>
      <c r="W862" s="10"/>
    </row>
    <row r="863" spans="18:23">
      <c r="R863" s="10"/>
      <c r="S863" s="10"/>
      <c r="T863" s="10"/>
      <c r="U863" s="10"/>
      <c r="V863" s="10"/>
      <c r="W863" s="10"/>
    </row>
    <row r="864" spans="18:23">
      <c r="R864" s="10"/>
      <c r="S864" s="10"/>
      <c r="T864" s="10"/>
      <c r="U864" s="10"/>
      <c r="V864" s="10"/>
      <c r="W864" s="10"/>
    </row>
    <row r="865" spans="18:23">
      <c r="R865" s="10"/>
      <c r="S865" s="10"/>
      <c r="T865" s="10"/>
      <c r="U865" s="10"/>
      <c r="V865" s="10"/>
      <c r="W865" s="10"/>
    </row>
    <row r="866" spans="18:23">
      <c r="R866" s="10"/>
      <c r="S866" s="10"/>
      <c r="T866" s="10"/>
      <c r="U866" s="10"/>
      <c r="V866" s="10"/>
      <c r="W866" s="10"/>
    </row>
    <row r="867" spans="18:23">
      <c r="R867" s="10"/>
      <c r="S867" s="10"/>
      <c r="T867" s="10"/>
      <c r="U867" s="10"/>
      <c r="V867" s="10"/>
      <c r="W867" s="10"/>
    </row>
    <row r="868" spans="18:23">
      <c r="R868" s="10"/>
      <c r="S868" s="10"/>
      <c r="T868" s="10"/>
      <c r="U868" s="10"/>
      <c r="V868" s="10"/>
      <c r="W868" s="10"/>
    </row>
    <row r="869" spans="18:23">
      <c r="R869" s="10"/>
      <c r="S869" s="10"/>
      <c r="T869" s="10"/>
      <c r="U869" s="10"/>
      <c r="V869" s="10"/>
      <c r="W869" s="10"/>
    </row>
    <row r="870" spans="18:23">
      <c r="R870" s="10"/>
      <c r="S870" s="10"/>
      <c r="T870" s="10"/>
      <c r="U870" s="10"/>
      <c r="V870" s="10"/>
      <c r="W870" s="10"/>
    </row>
    <row r="871" spans="18:23">
      <c r="R871" s="10"/>
      <c r="S871" s="10"/>
      <c r="T871" s="10"/>
      <c r="U871" s="10"/>
      <c r="V871" s="10"/>
      <c r="W871" s="10"/>
    </row>
    <row r="872" spans="18:23">
      <c r="R872" s="10"/>
      <c r="S872" s="10"/>
      <c r="T872" s="10"/>
      <c r="U872" s="10"/>
      <c r="V872" s="10"/>
      <c r="W872" s="10"/>
    </row>
    <row r="873" spans="18:23">
      <c r="R873" s="10"/>
      <c r="S873" s="10"/>
      <c r="T873" s="10"/>
      <c r="U873" s="10"/>
      <c r="V873" s="10"/>
      <c r="W873" s="10"/>
    </row>
    <row r="874" spans="18:23">
      <c r="R874" s="10"/>
      <c r="S874" s="10"/>
      <c r="T874" s="10"/>
      <c r="U874" s="10"/>
      <c r="V874" s="10"/>
      <c r="W874" s="10"/>
    </row>
    <row r="875" spans="18:23">
      <c r="R875" s="10"/>
      <c r="S875" s="10"/>
      <c r="T875" s="10"/>
      <c r="U875" s="10"/>
      <c r="V875" s="10"/>
      <c r="W875" s="10"/>
    </row>
    <row r="876" spans="18:23">
      <c r="R876" s="10"/>
      <c r="S876" s="10"/>
      <c r="T876" s="10"/>
      <c r="U876" s="10"/>
      <c r="V876" s="10"/>
      <c r="W876" s="10"/>
    </row>
    <row r="877" spans="18:23">
      <c r="R877" s="10"/>
      <c r="S877" s="10"/>
      <c r="T877" s="10"/>
      <c r="U877" s="10"/>
      <c r="V877" s="10"/>
      <c r="W877" s="10"/>
    </row>
    <row r="878" spans="18:23">
      <c r="R878" s="10"/>
      <c r="S878" s="10"/>
      <c r="T878" s="10"/>
      <c r="U878" s="10"/>
      <c r="V878" s="10"/>
      <c r="W878" s="10"/>
    </row>
    <row r="879" spans="18:23">
      <c r="R879" s="10"/>
      <c r="S879" s="10"/>
      <c r="T879" s="10"/>
      <c r="U879" s="10"/>
      <c r="V879" s="10"/>
      <c r="W879" s="10"/>
    </row>
    <row r="880" spans="18:23">
      <c r="R880" s="10"/>
      <c r="S880" s="10"/>
      <c r="T880" s="10"/>
      <c r="U880" s="10"/>
      <c r="V880" s="10"/>
      <c r="W880" s="10"/>
    </row>
    <row r="881" spans="18:23">
      <c r="R881" s="10"/>
      <c r="S881" s="10"/>
      <c r="T881" s="10"/>
      <c r="U881" s="10"/>
      <c r="V881" s="10"/>
      <c r="W881" s="10"/>
    </row>
    <row r="882" spans="18:23">
      <c r="R882" s="10"/>
      <c r="S882" s="10"/>
      <c r="T882" s="10"/>
      <c r="U882" s="10"/>
      <c r="V882" s="10"/>
      <c r="W882" s="10"/>
    </row>
    <row r="883" spans="18:23">
      <c r="R883" s="10"/>
      <c r="S883" s="10"/>
      <c r="T883" s="10"/>
      <c r="U883" s="10"/>
      <c r="V883" s="10"/>
      <c r="W883" s="10"/>
    </row>
    <row r="884" spans="18:23">
      <c r="R884" s="10"/>
      <c r="S884" s="10"/>
      <c r="T884" s="10"/>
      <c r="U884" s="10"/>
      <c r="V884" s="10"/>
      <c r="W884" s="10"/>
    </row>
  </sheetData>
  <protectedRanges>
    <protectedRange sqref="C2" name="Market Inputs"/>
  </protectedRanges>
  <mergeCells count="10">
    <mergeCell ref="A476:A524"/>
    <mergeCell ref="A424:A471"/>
    <mergeCell ref="A372:A419"/>
    <mergeCell ref="A320:A367"/>
    <mergeCell ref="A268:A315"/>
    <mergeCell ref="A216:A263"/>
    <mergeCell ref="A164:A211"/>
    <mergeCell ref="A112:A159"/>
    <mergeCell ref="A60:A107"/>
    <mergeCell ref="A8:A56"/>
  </mergeCells>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C31"/>
  <sheetViews>
    <sheetView workbookViewId="0">
      <selection activeCell="I31" sqref="I31"/>
    </sheetView>
  </sheetViews>
  <sheetFormatPr defaultRowHeight="12.75"/>
  <cols>
    <col min="1" max="1" width="19.85546875" style="156" customWidth="1"/>
    <col min="2" max="2" width="43.5703125" style="537" customWidth="1"/>
    <col min="3" max="3" width="36.5703125" style="537" customWidth="1"/>
    <col min="4" max="16384" width="9.140625" style="156"/>
  </cols>
  <sheetData>
    <row r="1" spans="1:3">
      <c r="A1" s="536" t="s">
        <v>866</v>
      </c>
    </row>
    <row r="2" spans="1:3" ht="13.5" thickBot="1">
      <c r="A2" s="536"/>
    </row>
    <row r="3" spans="1:3" s="538" customFormat="1" ht="35.1" customHeight="1">
      <c r="A3" s="1147" t="s">
        <v>101</v>
      </c>
      <c r="B3" s="1148" t="s">
        <v>860</v>
      </c>
      <c r="C3" s="1149" t="s">
        <v>100</v>
      </c>
    </row>
    <row r="4" spans="1:3" s="538" customFormat="1" ht="45" customHeight="1">
      <c r="A4" s="1150" t="s">
        <v>867</v>
      </c>
      <c r="B4" s="1144" t="s">
        <v>797</v>
      </c>
      <c r="C4" s="1151" t="s">
        <v>798</v>
      </c>
    </row>
    <row r="5" spans="1:3" s="538" customFormat="1" ht="45" customHeight="1">
      <c r="A5" s="1150" t="s">
        <v>868</v>
      </c>
      <c r="B5" s="1144" t="s">
        <v>873</v>
      </c>
      <c r="C5" s="1151" t="s">
        <v>861</v>
      </c>
    </row>
    <row r="6" spans="1:3" s="538" customFormat="1" ht="45" customHeight="1">
      <c r="A6" s="1150" t="s">
        <v>869</v>
      </c>
      <c r="B6" s="1144" t="s">
        <v>862</v>
      </c>
      <c r="C6" s="1151" t="s">
        <v>863</v>
      </c>
    </row>
    <row r="7" spans="1:3" s="538" customFormat="1" ht="45" customHeight="1">
      <c r="A7" s="1150" t="s">
        <v>870</v>
      </c>
      <c r="B7" s="1144" t="s">
        <v>864</v>
      </c>
      <c r="C7" s="1151"/>
    </row>
    <row r="8" spans="1:3" s="538" customFormat="1" ht="45" customHeight="1">
      <c r="A8" s="1150" t="s">
        <v>871</v>
      </c>
      <c r="B8" s="1144" t="s">
        <v>874</v>
      </c>
      <c r="C8" s="1151" t="s">
        <v>865</v>
      </c>
    </row>
    <row r="9" spans="1:3" ht="45" customHeight="1">
      <c r="A9" s="1152" t="s">
        <v>877</v>
      </c>
      <c r="B9" s="1144" t="s">
        <v>875</v>
      </c>
      <c r="C9" s="1151" t="s">
        <v>876</v>
      </c>
    </row>
    <row r="10" spans="1:3" ht="45" customHeight="1">
      <c r="A10" s="1152" t="s">
        <v>872</v>
      </c>
      <c r="B10" s="1144" t="s">
        <v>878</v>
      </c>
      <c r="C10" s="1153" t="s">
        <v>879</v>
      </c>
    </row>
    <row r="11" spans="1:3" s="410" customFormat="1" ht="45" customHeight="1">
      <c r="A11" s="1154" t="s">
        <v>888</v>
      </c>
      <c r="B11" s="1144" t="s">
        <v>889</v>
      </c>
      <c r="C11" s="1153" t="s">
        <v>890</v>
      </c>
    </row>
    <row r="12" spans="1:3" s="410" customFormat="1" ht="45" customHeight="1">
      <c r="A12" s="1154" t="s">
        <v>910</v>
      </c>
      <c r="B12" s="1144" t="s">
        <v>911</v>
      </c>
      <c r="C12" s="1153"/>
    </row>
    <row r="13" spans="1:3" s="410" customFormat="1" ht="45" customHeight="1">
      <c r="A13" s="1154" t="s">
        <v>914</v>
      </c>
      <c r="B13" s="1144" t="s">
        <v>915</v>
      </c>
      <c r="C13" s="1153"/>
    </row>
    <row r="14" spans="1:3" s="410" customFormat="1" ht="45" customHeight="1">
      <c r="A14" s="1154" t="s">
        <v>897</v>
      </c>
      <c r="B14" s="1144"/>
      <c r="C14" s="1153"/>
    </row>
    <row r="15" spans="1:3" s="410" customFormat="1" ht="45" customHeight="1">
      <c r="A15" s="1154" t="s">
        <v>899</v>
      </c>
      <c r="B15" s="1144" t="s">
        <v>900</v>
      </c>
      <c r="C15" s="1153"/>
    </row>
    <row r="16" spans="1:3" s="410" customFormat="1" ht="45" customHeight="1">
      <c r="A16" s="1154" t="s">
        <v>902</v>
      </c>
      <c r="B16" s="1144" t="s">
        <v>1242</v>
      </c>
      <c r="C16" s="1153"/>
    </row>
    <row r="17" spans="1:3" s="410" customFormat="1" ht="45" customHeight="1">
      <c r="A17" s="1154" t="s">
        <v>903</v>
      </c>
      <c r="B17" s="1144" t="s">
        <v>905</v>
      </c>
      <c r="C17" s="1153"/>
    </row>
    <row r="18" spans="1:3" s="410" customFormat="1" ht="63.75">
      <c r="A18" s="1154" t="s">
        <v>919</v>
      </c>
      <c r="B18" s="1144" t="s">
        <v>920</v>
      </c>
      <c r="C18" s="1153"/>
    </row>
    <row r="19" spans="1:3">
      <c r="A19" s="1155" t="s">
        <v>926</v>
      </c>
      <c r="B19" s="1145" t="s">
        <v>927</v>
      </c>
      <c r="C19" s="1153"/>
    </row>
    <row r="20" spans="1:3" ht="25.5">
      <c r="A20" s="1155" t="s">
        <v>929</v>
      </c>
      <c r="B20" s="1145" t="s">
        <v>930</v>
      </c>
      <c r="C20" s="1153"/>
    </row>
    <row r="21" spans="1:3">
      <c r="A21" s="1155" t="s">
        <v>932</v>
      </c>
      <c r="B21" s="1145" t="s">
        <v>933</v>
      </c>
      <c r="C21" s="1153"/>
    </row>
    <row r="22" spans="1:3" ht="63.75">
      <c r="A22" s="1155" t="s">
        <v>936</v>
      </c>
      <c r="B22" s="1146" t="s">
        <v>938</v>
      </c>
      <c r="C22" s="1153"/>
    </row>
    <row r="23" spans="1:3" ht="38.25">
      <c r="A23" s="1155" t="s">
        <v>937</v>
      </c>
      <c r="B23" s="1145" t="s">
        <v>639</v>
      </c>
      <c r="C23" s="1153"/>
    </row>
    <row r="24" spans="1:3" ht="51">
      <c r="A24" s="1155" t="s">
        <v>940</v>
      </c>
      <c r="B24" s="1145" t="s">
        <v>645</v>
      </c>
      <c r="C24" s="1153"/>
    </row>
    <row r="25" spans="1:3" ht="76.5">
      <c r="A25" s="1155" t="s">
        <v>901</v>
      </c>
      <c r="B25" s="1145" t="s">
        <v>646</v>
      </c>
      <c r="C25" s="1153"/>
    </row>
    <row r="26" spans="1:3" ht="38.25">
      <c r="A26" s="1155" t="s">
        <v>942</v>
      </c>
      <c r="B26" s="1145" t="s">
        <v>751</v>
      </c>
      <c r="C26" s="1153"/>
    </row>
    <row r="27" spans="1:3" ht="63.75">
      <c r="A27" s="1155" t="s">
        <v>951</v>
      </c>
      <c r="B27" s="1145" t="s">
        <v>1241</v>
      </c>
      <c r="C27" s="1153"/>
    </row>
    <row r="28" spans="1:3" ht="63.75">
      <c r="A28" s="1155" t="s">
        <v>988</v>
      </c>
      <c r="B28" s="1145" t="s">
        <v>990</v>
      </c>
      <c r="C28" s="1153"/>
    </row>
    <row r="29" spans="1:3" ht="63.75">
      <c r="A29" s="1155" t="s">
        <v>989</v>
      </c>
      <c r="B29" s="1145" t="s">
        <v>991</v>
      </c>
      <c r="C29" s="1153"/>
    </row>
    <row r="30" spans="1:3" ht="25.5">
      <c r="A30" s="1155" t="s">
        <v>992</v>
      </c>
      <c r="B30" s="1145" t="s">
        <v>1431</v>
      </c>
      <c r="C30" s="1153" t="s">
        <v>993</v>
      </c>
    </row>
    <row r="31" spans="1:3" ht="90" thickBot="1">
      <c r="A31" s="1156" t="s">
        <v>994</v>
      </c>
      <c r="B31" s="1157" t="s">
        <v>995</v>
      </c>
      <c r="C31" s="1158" t="s">
        <v>996</v>
      </c>
    </row>
  </sheetData>
  <pageMargins left="0.7" right="0.7" top="0.75" bottom="0.75" header="0.3" footer="0.3"/>
  <pageSetup scale="49" orientation="portrait" r:id="rId1"/>
</worksheet>
</file>

<file path=xl/worksheets/sheet2.xml><?xml version="1.0" encoding="utf-8"?>
<worksheet xmlns="http://schemas.openxmlformats.org/spreadsheetml/2006/main" xmlns:r="http://schemas.openxmlformats.org/officeDocument/2006/relationships">
  <dimension ref="A1:FK204"/>
  <sheetViews>
    <sheetView topLeftCell="A22" zoomScale="55" zoomScaleNormal="55" workbookViewId="0">
      <pane xSplit="3" topLeftCell="E1" activePane="topRight" state="frozen"/>
      <selection pane="topRight" activeCell="FT91" sqref="FT91"/>
    </sheetView>
  </sheetViews>
  <sheetFormatPr defaultColWidth="17" defaultRowHeight="12.75" outlineLevelCol="2"/>
  <cols>
    <col min="1" max="2" width="18.42578125" style="152" customWidth="1"/>
    <col min="3" max="3" width="35.5703125" customWidth="1"/>
    <col min="4" max="4" width="7.85546875" style="155" hidden="1" customWidth="1"/>
    <col min="5" max="5" width="1.7109375" customWidth="1" outlineLevel="1"/>
    <col min="6" max="12" width="17" style="7" customWidth="1" outlineLevel="1"/>
    <col min="13" max="13" width="15.140625" style="7" customWidth="1" outlineLevel="1"/>
    <col min="14" max="14" width="2.140625" customWidth="1" outlineLevel="1"/>
    <col min="15" max="20" width="17" style="7" customWidth="1" outlineLevel="1"/>
    <col min="21" max="21" width="17" customWidth="1" outlineLevel="1"/>
    <col min="22" max="22" width="10.7109375" customWidth="1" outlineLevel="1"/>
    <col min="23" max="23" width="2.7109375" customWidth="1" outlineLevel="1"/>
    <col min="24" max="30" width="17" style="7" customWidth="1" outlineLevel="1"/>
    <col min="31" max="31" width="30.5703125" customWidth="1" outlineLevel="1"/>
    <col min="32" max="32" width="17" customWidth="1" outlineLevel="1"/>
    <col min="33" max="33" width="2.42578125" customWidth="1" outlineLevel="1"/>
    <col min="34" max="34" width="17" style="20" customWidth="1" outlineLevel="1"/>
    <col min="35" max="35" width="17" style="21" customWidth="1" outlineLevel="1"/>
    <col min="36" max="37" width="17" customWidth="1" outlineLevel="1"/>
    <col min="38" max="38" width="17" style="26" customWidth="1" outlineLevel="1"/>
    <col min="39" max="39" width="17" style="15" customWidth="1" outlineLevel="1"/>
    <col min="40" max="40" width="17" style="18" customWidth="1"/>
    <col min="41" max="42" width="17" customWidth="1" outlineLevel="1"/>
    <col min="43" max="43" width="2.7109375" style="26" customWidth="1" outlineLevel="1"/>
    <col min="44" max="46" width="17" customWidth="1" outlineLevel="1"/>
    <col min="47" max="47" width="17" customWidth="1"/>
    <col min="48" max="48" width="2.7109375" style="26" customWidth="1" outlineLevel="1"/>
    <col min="49" max="50" width="17" customWidth="1"/>
    <col min="51" max="52" width="17" customWidth="1" outlineLevel="1"/>
    <col min="53" max="53" width="17" customWidth="1"/>
    <col min="54" max="54" width="17" style="11" customWidth="1" outlineLevel="1"/>
    <col min="55" max="58" width="17" style="11" customWidth="1" outlineLevel="2"/>
    <col min="59" max="59" width="2.7109375" style="26" customWidth="1" outlineLevel="1"/>
    <col min="60" max="62" width="17" style="11" customWidth="1" outlineLevel="2"/>
    <col min="63" max="68" width="17" style="11" customWidth="1" outlineLevel="1"/>
    <col min="69" max="69" width="15.42578125" style="26" customWidth="1" outlineLevel="1"/>
    <col min="70" max="70" width="2.42578125" style="11" customWidth="1" outlineLevel="1"/>
    <col min="71" max="76" width="17" style="11" customWidth="1" outlineLevel="1"/>
    <col min="77" max="77" width="17" style="7" customWidth="1"/>
    <col min="78" max="78" width="11.5703125" style="26" customWidth="1" outlineLevel="1"/>
    <col min="79" max="79" width="17" style="7" customWidth="1"/>
    <col min="80" max="82" width="17" style="7" customWidth="1" outlineLevel="1"/>
    <col min="83" max="83" width="17" style="7" customWidth="1"/>
    <col min="84" max="84" width="2.140625" style="26" customWidth="1" outlineLevel="1"/>
    <col min="85" max="85" width="19.42578125" style="7" bestFit="1" customWidth="1"/>
    <col min="86" max="87" width="19.5703125" style="7" bestFit="1" customWidth="1"/>
    <col min="88" max="93" width="18.85546875" style="7" bestFit="1" customWidth="1"/>
    <col min="94" max="94" width="19.7109375" style="7" bestFit="1" customWidth="1"/>
    <col min="95" max="95" width="17" style="7" customWidth="1"/>
    <col min="96" max="96" width="2.7109375" style="7" customWidth="1"/>
    <col min="97" max="101" width="17" style="7" customWidth="1"/>
    <col min="103" max="103" width="17.28515625" customWidth="1" outlineLevel="1"/>
    <col min="104" max="108" width="17" style="185"/>
    <col min="109" max="109" width="2.7109375" style="185" customWidth="1"/>
    <col min="110" max="110" width="18.5703125" style="185" bestFit="1" customWidth="1"/>
    <col min="111" max="118" width="18.85546875" style="185" bestFit="1" customWidth="1"/>
    <col min="119" max="119" width="17" style="185"/>
    <col min="120" max="120" width="2.42578125" style="185" customWidth="1"/>
    <col min="121" max="126" width="17" style="185"/>
    <col min="127" max="127" width="14.42578125" style="185" customWidth="1"/>
    <col min="128" max="132" width="17" style="185"/>
    <col min="133" max="133" width="2.42578125" style="185" customWidth="1"/>
    <col min="134" max="143" width="17" style="185"/>
    <col min="144" max="144" width="2.140625" style="185" customWidth="1"/>
    <col min="145" max="150" width="17" style="185"/>
    <col min="151" max="151" width="8.42578125" style="185" customWidth="1"/>
    <col min="152" max="156" width="17" style="185"/>
    <col min="157" max="157" width="2.42578125" style="185" customWidth="1"/>
    <col min="158" max="16384" width="17" style="185"/>
  </cols>
  <sheetData>
    <row r="1" spans="1:167">
      <c r="N1" s="156" t="s">
        <v>327</v>
      </c>
      <c r="AW1" s="72"/>
      <c r="AX1" s="72"/>
      <c r="AY1" s="72"/>
      <c r="AZ1" s="72"/>
      <c r="BA1" s="72"/>
      <c r="BB1" s="72"/>
      <c r="BC1" s="72"/>
      <c r="BH1"/>
      <c r="BI1"/>
      <c r="BJ1"/>
      <c r="BK1"/>
      <c r="BL1"/>
      <c r="BO1" s="1"/>
      <c r="BP1" s="1"/>
      <c r="BQ1" s="1"/>
      <c r="BR1" s="26"/>
      <c r="BY1" s="11"/>
      <c r="BZ1" s="11"/>
      <c r="CA1" s="11"/>
      <c r="CB1" s="72"/>
      <c r="CC1" s="72"/>
      <c r="CD1" s="72"/>
      <c r="CR1" s="26"/>
      <c r="CS1" s="405"/>
      <c r="CT1" s="405"/>
      <c r="CU1" s="405"/>
      <c r="CV1" s="405"/>
      <c r="CW1" s="405"/>
      <c r="CX1" s="405"/>
      <c r="CY1" s="405"/>
      <c r="CZ1" s="405"/>
      <c r="DA1" s="405"/>
      <c r="DB1" s="405"/>
      <c r="DC1" s="405"/>
      <c r="DD1" s="405"/>
      <c r="DE1" s="406"/>
      <c r="DF1" s="406"/>
      <c r="DG1" s="406"/>
      <c r="DH1" s="406"/>
      <c r="DI1" s="406"/>
      <c r="DJ1" s="406"/>
      <c r="DK1" s="406"/>
      <c r="DL1" s="406"/>
      <c r="DM1" s="406"/>
      <c r="DN1" s="406"/>
      <c r="DO1" s="406"/>
      <c r="DP1" s="26"/>
      <c r="DQ1" s="403"/>
      <c r="DR1" s="403"/>
      <c r="DS1" s="403"/>
      <c r="DT1" s="403"/>
      <c r="DU1" s="403"/>
      <c r="DV1" s="403"/>
      <c r="DW1" s="403"/>
      <c r="DX1" s="403"/>
      <c r="DY1" s="403"/>
      <c r="DZ1" s="403"/>
      <c r="EA1" s="403"/>
      <c r="EB1" s="403"/>
      <c r="EC1" s="404"/>
      <c r="ED1" s="404"/>
      <c r="EE1" s="404"/>
      <c r="EF1" s="404"/>
      <c r="EG1" s="404"/>
      <c r="EH1" s="404"/>
      <c r="EI1" s="404"/>
      <c r="EJ1" s="404"/>
      <c r="EK1" s="404"/>
      <c r="EL1" s="404"/>
      <c r="EM1" s="404"/>
      <c r="EN1" s="26"/>
      <c r="EO1" s="401"/>
      <c r="EP1" s="401"/>
      <c r="EQ1" s="401"/>
      <c r="ER1" s="401"/>
      <c r="ES1" s="401"/>
      <c r="ET1" s="401"/>
      <c r="EU1" s="401"/>
      <c r="EV1" s="401"/>
      <c r="EW1" s="401"/>
      <c r="EX1" s="401"/>
      <c r="EY1" s="401"/>
      <c r="EZ1" s="401"/>
      <c r="FA1" s="402"/>
      <c r="FB1" s="402"/>
      <c r="FC1" s="402"/>
      <c r="FD1" s="402"/>
      <c r="FE1" s="402"/>
      <c r="FF1" s="402"/>
      <c r="FG1" s="402"/>
      <c r="FH1" s="402"/>
      <c r="FI1" s="402"/>
      <c r="FJ1" s="402"/>
      <c r="FK1" s="402"/>
    </row>
    <row r="2" spans="1:167" s="3" customFormat="1" ht="29.25" customHeight="1">
      <c r="A2" s="16"/>
      <c r="B2" s="16"/>
      <c r="C2" s="16"/>
      <c r="D2" s="315"/>
      <c r="E2" s="1" t="s">
        <v>327</v>
      </c>
      <c r="F2" s="16"/>
      <c r="G2" s="16"/>
      <c r="H2" s="16"/>
      <c r="I2" s="16"/>
      <c r="J2" s="16"/>
      <c r="K2" s="16"/>
      <c r="L2" s="16"/>
      <c r="M2" s="16"/>
      <c r="N2" s="1" t="s">
        <v>327</v>
      </c>
      <c r="O2" s="16"/>
      <c r="P2" s="16"/>
      <c r="Q2" s="16"/>
      <c r="R2" s="16"/>
      <c r="S2" s="16"/>
      <c r="T2" s="16"/>
      <c r="U2" s="1"/>
      <c r="V2" s="1"/>
      <c r="W2" s="1" t="s">
        <v>327</v>
      </c>
      <c r="X2" s="16"/>
      <c r="Y2" s="16"/>
      <c r="Z2" s="16"/>
      <c r="AA2" s="16"/>
      <c r="AB2" s="16"/>
      <c r="AC2" s="16"/>
      <c r="AD2" s="16"/>
      <c r="AE2" s="1"/>
      <c r="AF2" s="1"/>
      <c r="AG2" s="1" t="s">
        <v>327</v>
      </c>
      <c r="AH2" s="16"/>
      <c r="AI2" s="16"/>
      <c r="AJ2" s="16"/>
      <c r="AK2" s="16"/>
      <c r="AL2" s="16"/>
      <c r="AM2" s="16"/>
      <c r="AN2" s="16"/>
      <c r="AO2" s="1"/>
      <c r="AP2" s="1"/>
      <c r="AQ2" s="1" t="s">
        <v>327</v>
      </c>
      <c r="AR2" s="1"/>
      <c r="AS2" s="1"/>
      <c r="AT2" s="1"/>
      <c r="AU2" s="1"/>
      <c r="AV2" s="1" t="s">
        <v>327</v>
      </c>
      <c r="AW2" s="1"/>
      <c r="AX2" s="352"/>
      <c r="AY2" s="1168" t="s">
        <v>761</v>
      </c>
      <c r="AZ2" s="1169"/>
      <c r="BA2" s="1169"/>
      <c r="BB2" s="1169"/>
      <c r="BC2" s="1169"/>
      <c r="BD2" s="1170"/>
      <c r="BE2" s="363"/>
      <c r="BF2" s="1"/>
      <c r="BG2" s="1" t="s">
        <v>327</v>
      </c>
      <c r="BH2" s="13"/>
      <c r="BI2" s="14"/>
      <c r="BJ2" s="1163" t="s">
        <v>762</v>
      </c>
      <c r="BK2" s="1163"/>
      <c r="BL2" s="1163"/>
      <c r="BM2" s="1163"/>
      <c r="BN2" s="1163"/>
      <c r="BO2" s="1164"/>
      <c r="BP2" s="1"/>
      <c r="BQ2" s="1"/>
      <c r="BR2" s="1" t="s">
        <v>327</v>
      </c>
      <c r="BS2" s="344"/>
      <c r="BT2" s="344"/>
      <c r="BU2" s="344"/>
      <c r="BV2" s="1168" t="s">
        <v>759</v>
      </c>
      <c r="BW2" s="1169"/>
      <c r="BX2" s="1169"/>
      <c r="BY2" s="1169"/>
      <c r="BZ2" s="1169"/>
      <c r="CA2" s="1170"/>
      <c r="CB2" s="711"/>
      <c r="CC2" s="712"/>
      <c r="CD2" s="712"/>
      <c r="CE2" s="346"/>
      <c r="CF2" s="1" t="s">
        <v>327</v>
      </c>
      <c r="CG2" s="344"/>
      <c r="CH2" s="344"/>
      <c r="CI2" s="1173" t="s">
        <v>760</v>
      </c>
      <c r="CJ2" s="1174"/>
      <c r="CK2" s="1174"/>
      <c r="CL2" s="1174"/>
      <c r="CM2" s="1174"/>
      <c r="CN2" s="1175"/>
      <c r="CO2" s="345"/>
      <c r="CP2" s="344"/>
      <c r="CQ2" s="1"/>
      <c r="CR2" s="1" t="s">
        <v>327</v>
      </c>
      <c r="CS2" s="344"/>
      <c r="CT2" s="344"/>
      <c r="CU2" s="344"/>
      <c r="CV2" s="1168" t="s">
        <v>1171</v>
      </c>
      <c r="CW2" s="1169"/>
      <c r="CX2" s="1169"/>
      <c r="CY2" s="1169"/>
      <c r="CZ2" s="1169"/>
      <c r="DA2" s="1170"/>
      <c r="DB2" s="711"/>
      <c r="DC2" s="712"/>
      <c r="DD2" s="712"/>
      <c r="DE2" s="1" t="s">
        <v>327</v>
      </c>
      <c r="DF2" s="344"/>
      <c r="DG2" s="344"/>
      <c r="DH2" s="1173" t="s">
        <v>766</v>
      </c>
      <c r="DI2" s="1174"/>
      <c r="DJ2" s="1174"/>
      <c r="DK2" s="1174"/>
      <c r="DL2" s="1174"/>
      <c r="DM2" s="1175"/>
      <c r="DN2" s="345"/>
      <c r="DO2" s="344"/>
      <c r="DP2" s="1" t="s">
        <v>327</v>
      </c>
      <c r="DQ2" s="344"/>
      <c r="DR2" s="344"/>
      <c r="DS2" s="344"/>
      <c r="DT2" s="1168" t="s">
        <v>1172</v>
      </c>
      <c r="DU2" s="1169"/>
      <c r="DV2" s="1169"/>
      <c r="DW2" s="1169"/>
      <c r="DX2" s="1169"/>
      <c r="DY2" s="1170"/>
      <c r="DZ2" s="711"/>
      <c r="EA2" s="712"/>
      <c r="EB2" s="712"/>
      <c r="EC2" s="1" t="s">
        <v>327</v>
      </c>
      <c r="ED2" s="344"/>
      <c r="EE2" s="344"/>
      <c r="EF2" s="1173" t="s">
        <v>767</v>
      </c>
      <c r="EG2" s="1174"/>
      <c r="EH2" s="1174"/>
      <c r="EI2" s="1174"/>
      <c r="EJ2" s="1174"/>
      <c r="EK2" s="1175"/>
      <c r="EL2" s="345"/>
      <c r="EM2" s="344"/>
      <c r="EN2" s="1" t="s">
        <v>327</v>
      </c>
      <c r="EO2" s="344"/>
      <c r="EP2" s="344"/>
      <c r="EQ2" s="344"/>
      <c r="ER2" s="1168" t="s">
        <v>1170</v>
      </c>
      <c r="ES2" s="1169"/>
      <c r="ET2" s="1169"/>
      <c r="EU2" s="1169"/>
      <c r="EV2" s="1169"/>
      <c r="EW2" s="1170"/>
      <c r="EX2" s="711"/>
      <c r="EY2" s="712"/>
      <c r="EZ2" s="712"/>
      <c r="FA2" s="1" t="s">
        <v>327</v>
      </c>
      <c r="FB2" s="344"/>
      <c r="FC2" s="344"/>
      <c r="FD2" s="1173" t="s">
        <v>768</v>
      </c>
      <c r="FE2" s="1174"/>
      <c r="FF2" s="1174"/>
      <c r="FG2" s="1174"/>
      <c r="FH2" s="1174"/>
      <c r="FI2" s="1175"/>
      <c r="FJ2" s="345"/>
      <c r="FK2" s="344"/>
    </row>
    <row r="3" spans="1:167" s="3" customFormat="1" ht="10.5" customHeight="1">
      <c r="A3" s="320"/>
      <c r="B3" s="323"/>
      <c r="C3" s="325"/>
      <c r="D3" s="324"/>
      <c r="E3" s="1" t="s">
        <v>327</v>
      </c>
      <c r="F3" s="16"/>
      <c r="G3" s="16"/>
      <c r="H3" s="1165" t="s">
        <v>212</v>
      </c>
      <c r="I3" s="1166"/>
      <c r="J3" s="1166"/>
      <c r="K3" s="1167"/>
      <c r="L3" s="1"/>
      <c r="M3" s="1"/>
      <c r="N3" s="1" t="s">
        <v>327</v>
      </c>
      <c r="O3" s="1"/>
      <c r="P3" s="1"/>
      <c r="Q3" s="1165" t="s">
        <v>213</v>
      </c>
      <c r="R3" s="1166"/>
      <c r="S3" s="1166"/>
      <c r="T3" s="1167"/>
      <c r="U3" s="1"/>
      <c r="V3" s="1"/>
      <c r="W3" s="1" t="s">
        <v>327</v>
      </c>
      <c r="X3" s="1"/>
      <c r="Y3" s="352"/>
      <c r="Z3" s="1166" t="s">
        <v>744</v>
      </c>
      <c r="AA3" s="1166"/>
      <c r="AB3" s="1166"/>
      <c r="AC3" s="1166"/>
      <c r="AD3" s="1167"/>
      <c r="AE3" s="1"/>
      <c r="AF3" s="346"/>
      <c r="AG3" s="1" t="s">
        <v>327</v>
      </c>
      <c r="AH3" s="346"/>
      <c r="AI3" s="346"/>
      <c r="AJ3" s="1165" t="s">
        <v>752</v>
      </c>
      <c r="AK3" s="1166"/>
      <c r="AL3" s="1166"/>
      <c r="AM3" s="1166"/>
      <c r="AN3" s="1167"/>
      <c r="AO3" s="363"/>
      <c r="AP3" s="1"/>
      <c r="AQ3" s="1" t="s">
        <v>327</v>
      </c>
      <c r="AR3" s="1"/>
      <c r="AS3" s="1171" t="s">
        <v>793</v>
      </c>
      <c r="AT3" s="1172"/>
      <c r="AU3" s="1"/>
      <c r="AV3" s="1" t="s">
        <v>327</v>
      </c>
      <c r="AW3" s="366"/>
      <c r="AX3" s="361"/>
      <c r="AY3" s="367"/>
      <c r="AZ3" s="367"/>
      <c r="BA3" s="367"/>
      <c r="BB3" s="367"/>
      <c r="BC3" s="367"/>
      <c r="BD3" s="367"/>
      <c r="BE3" s="361"/>
      <c r="BF3" s="362"/>
      <c r="BG3" s="1" t="s">
        <v>327</v>
      </c>
      <c r="BH3" s="357"/>
      <c r="BI3" s="358"/>
      <c r="BJ3" s="359"/>
      <c r="BK3" s="359"/>
      <c r="BL3" s="359"/>
      <c r="BM3" s="359"/>
      <c r="BN3" s="359"/>
      <c r="BO3" s="359"/>
      <c r="BP3" s="358"/>
      <c r="BQ3" s="360"/>
      <c r="BR3" s="1" t="s">
        <v>327</v>
      </c>
      <c r="BS3" s="349" t="s">
        <v>1129</v>
      </c>
      <c r="BT3" s="350" t="s">
        <v>1130</v>
      </c>
      <c r="BU3" s="350" t="s">
        <v>1131</v>
      </c>
      <c r="BV3" s="350" t="s">
        <v>1132</v>
      </c>
      <c r="BW3" s="350" t="s">
        <v>1133</v>
      </c>
      <c r="BX3" s="350" t="s">
        <v>1134</v>
      </c>
      <c r="BY3" s="350" t="s">
        <v>1135</v>
      </c>
      <c r="BZ3" s="350" t="s">
        <v>1136</v>
      </c>
      <c r="CA3" s="350" t="s">
        <v>1137</v>
      </c>
      <c r="CB3" s="350" t="s">
        <v>1138</v>
      </c>
      <c r="CC3" s="350" t="s">
        <v>1220</v>
      </c>
      <c r="CD3" s="350" t="s">
        <v>1221</v>
      </c>
      <c r="CE3" s="713"/>
      <c r="CF3" s="326" t="s">
        <v>327</v>
      </c>
      <c r="CG3" s="333" t="s">
        <v>235</v>
      </c>
      <c r="CH3" s="334" t="s">
        <v>236</v>
      </c>
      <c r="CI3" s="334" t="s">
        <v>203</v>
      </c>
      <c r="CJ3" s="334" t="s">
        <v>204</v>
      </c>
      <c r="CK3" s="334" t="s">
        <v>205</v>
      </c>
      <c r="CL3" s="334" t="s">
        <v>206</v>
      </c>
      <c r="CM3" s="334" t="s">
        <v>207</v>
      </c>
      <c r="CN3" s="334" t="s">
        <v>208</v>
      </c>
      <c r="CO3" s="334" t="s">
        <v>209</v>
      </c>
      <c r="CP3" s="335" t="s">
        <v>210</v>
      </c>
      <c r="CQ3" s="2"/>
      <c r="CR3" s="1" t="s">
        <v>327</v>
      </c>
      <c r="CS3" s="349" t="s">
        <v>1129</v>
      </c>
      <c r="CT3" s="350" t="s">
        <v>1130</v>
      </c>
      <c r="CU3" s="350" t="s">
        <v>1131</v>
      </c>
      <c r="CV3" s="350" t="s">
        <v>1132</v>
      </c>
      <c r="CW3" s="350" t="s">
        <v>1133</v>
      </c>
      <c r="CX3" s="350" t="s">
        <v>1134</v>
      </c>
      <c r="CY3" s="350" t="s">
        <v>1135</v>
      </c>
      <c r="CZ3" s="350" t="s">
        <v>1136</v>
      </c>
      <c r="DA3" s="350" t="s">
        <v>1137</v>
      </c>
      <c r="DB3" s="350" t="s">
        <v>1138</v>
      </c>
      <c r="DC3" s="350" t="s">
        <v>1220</v>
      </c>
      <c r="DD3" s="350" t="s">
        <v>1221</v>
      </c>
      <c r="DE3" s="1" t="s">
        <v>327</v>
      </c>
      <c r="DF3" s="333" t="s">
        <v>235</v>
      </c>
      <c r="DG3" s="334" t="s">
        <v>236</v>
      </c>
      <c r="DH3" s="334" t="s">
        <v>203</v>
      </c>
      <c r="DI3" s="334" t="s">
        <v>204</v>
      </c>
      <c r="DJ3" s="334" t="s">
        <v>205</v>
      </c>
      <c r="DK3" s="334" t="s">
        <v>206</v>
      </c>
      <c r="DL3" s="334" t="s">
        <v>207</v>
      </c>
      <c r="DM3" s="334" t="s">
        <v>208</v>
      </c>
      <c r="DN3" s="334" t="s">
        <v>209</v>
      </c>
      <c r="DO3" s="335" t="s">
        <v>210</v>
      </c>
      <c r="DP3" s="1" t="s">
        <v>327</v>
      </c>
      <c r="DQ3" s="349" t="s">
        <v>1129</v>
      </c>
      <c r="DR3" s="350" t="s">
        <v>1130</v>
      </c>
      <c r="DS3" s="350" t="s">
        <v>1131</v>
      </c>
      <c r="DT3" s="350" t="s">
        <v>1132</v>
      </c>
      <c r="DU3" s="350" t="s">
        <v>1133</v>
      </c>
      <c r="DV3" s="350" t="s">
        <v>1134</v>
      </c>
      <c r="DW3" s="350" t="s">
        <v>1135</v>
      </c>
      <c r="DX3" s="350" t="s">
        <v>1136</v>
      </c>
      <c r="DY3" s="350" t="s">
        <v>1137</v>
      </c>
      <c r="DZ3" s="350" t="s">
        <v>1138</v>
      </c>
      <c r="EA3" s="350" t="s">
        <v>1220</v>
      </c>
      <c r="EB3" s="350" t="s">
        <v>1221</v>
      </c>
      <c r="EC3" s="1" t="s">
        <v>327</v>
      </c>
      <c r="ED3" s="333" t="s">
        <v>235</v>
      </c>
      <c r="EE3" s="334" t="s">
        <v>236</v>
      </c>
      <c r="EF3" s="334" t="s">
        <v>203</v>
      </c>
      <c r="EG3" s="334" t="s">
        <v>204</v>
      </c>
      <c r="EH3" s="334" t="s">
        <v>205</v>
      </c>
      <c r="EI3" s="334" t="s">
        <v>206</v>
      </c>
      <c r="EJ3" s="334" t="s">
        <v>207</v>
      </c>
      <c r="EK3" s="334" t="s">
        <v>208</v>
      </c>
      <c r="EL3" s="334" t="s">
        <v>209</v>
      </c>
      <c r="EM3" s="335" t="s">
        <v>210</v>
      </c>
      <c r="EN3" s="1" t="s">
        <v>327</v>
      </c>
      <c r="EO3" s="349" t="s">
        <v>1129</v>
      </c>
      <c r="EP3" s="350" t="s">
        <v>1130</v>
      </c>
      <c r="EQ3" s="350" t="s">
        <v>1131</v>
      </c>
      <c r="ER3" s="350" t="s">
        <v>1132</v>
      </c>
      <c r="ES3" s="350" t="s">
        <v>1133</v>
      </c>
      <c r="ET3" s="350" t="s">
        <v>1134</v>
      </c>
      <c r="EU3" s="350" t="s">
        <v>1135</v>
      </c>
      <c r="EV3" s="350" t="s">
        <v>1136</v>
      </c>
      <c r="EW3" s="350" t="s">
        <v>1137</v>
      </c>
      <c r="EX3" s="350" t="s">
        <v>1138</v>
      </c>
      <c r="EY3" s="350" t="s">
        <v>1220</v>
      </c>
      <c r="EZ3" s="350" t="s">
        <v>1221</v>
      </c>
      <c r="FA3" s="1" t="s">
        <v>327</v>
      </c>
      <c r="FB3" s="333" t="s">
        <v>235</v>
      </c>
      <c r="FC3" s="334" t="s">
        <v>236</v>
      </c>
      <c r="FD3" s="334" t="s">
        <v>203</v>
      </c>
      <c r="FE3" s="334" t="s">
        <v>204</v>
      </c>
      <c r="FF3" s="334" t="s">
        <v>205</v>
      </c>
      <c r="FG3" s="334" t="s">
        <v>206</v>
      </c>
      <c r="FH3" s="334" t="s">
        <v>207</v>
      </c>
      <c r="FI3" s="334" t="s">
        <v>208</v>
      </c>
      <c r="FJ3" s="334" t="s">
        <v>209</v>
      </c>
      <c r="FK3" s="335" t="s">
        <v>210</v>
      </c>
    </row>
    <row r="4" spans="1:167" s="312" customFormat="1" ht="38.25">
      <c r="A4" s="321" t="s">
        <v>102</v>
      </c>
      <c r="B4" s="316" t="s">
        <v>103</v>
      </c>
      <c r="C4" s="317" t="s">
        <v>104</v>
      </c>
      <c r="D4" s="319" t="s">
        <v>763</v>
      </c>
      <c r="E4" s="327" t="s">
        <v>327</v>
      </c>
      <c r="F4" s="282" t="s">
        <v>97</v>
      </c>
      <c r="G4" s="278" t="s">
        <v>96</v>
      </c>
      <c r="H4" s="277" t="s">
        <v>95</v>
      </c>
      <c r="I4" s="277" t="s">
        <v>255</v>
      </c>
      <c r="J4" s="517" t="s">
        <v>807</v>
      </c>
      <c r="K4" s="277" t="s">
        <v>765</v>
      </c>
      <c r="L4" s="279" t="s">
        <v>187</v>
      </c>
      <c r="M4" s="279" t="s">
        <v>100</v>
      </c>
      <c r="N4" s="326" t="s">
        <v>327</v>
      </c>
      <c r="O4" s="282" t="s">
        <v>97</v>
      </c>
      <c r="P4" s="278" t="s">
        <v>96</v>
      </c>
      <c r="Q4" s="277" t="s">
        <v>95</v>
      </c>
      <c r="R4" s="277" t="s">
        <v>255</v>
      </c>
      <c r="S4" s="517" t="s">
        <v>807</v>
      </c>
      <c r="T4" s="277" t="s">
        <v>765</v>
      </c>
      <c r="U4" s="279" t="s">
        <v>186</v>
      </c>
      <c r="V4" s="285" t="s">
        <v>100</v>
      </c>
      <c r="W4" s="326" t="s">
        <v>327</v>
      </c>
      <c r="X4" s="282" t="s">
        <v>211</v>
      </c>
      <c r="Y4" s="278" t="s">
        <v>98</v>
      </c>
      <c r="Z4" s="277" t="s">
        <v>97</v>
      </c>
      <c r="AA4" s="277" t="s">
        <v>96</v>
      </c>
      <c r="AB4" s="277" t="s">
        <v>624</v>
      </c>
      <c r="AC4" s="277" t="s">
        <v>255</v>
      </c>
      <c r="AD4" s="517" t="s">
        <v>808</v>
      </c>
      <c r="AE4" s="279" t="s">
        <v>256</v>
      </c>
      <c r="AF4" s="281" t="s">
        <v>100</v>
      </c>
      <c r="AG4" s="326" t="s">
        <v>327</v>
      </c>
      <c r="AH4" s="282" t="s">
        <v>97</v>
      </c>
      <c r="AI4" s="278" t="s">
        <v>96</v>
      </c>
      <c r="AJ4" s="277" t="s">
        <v>95</v>
      </c>
      <c r="AK4" s="277" t="s">
        <v>255</v>
      </c>
      <c r="AL4" s="277" t="s">
        <v>764</v>
      </c>
      <c r="AM4" s="277" t="s">
        <v>765</v>
      </c>
      <c r="AN4" s="277" t="s">
        <v>906</v>
      </c>
      <c r="AO4" s="280" t="s">
        <v>256</v>
      </c>
      <c r="AP4" s="285" t="s">
        <v>100</v>
      </c>
      <c r="AQ4" s="326" t="s">
        <v>327</v>
      </c>
      <c r="AR4" s="353" t="s">
        <v>774</v>
      </c>
      <c r="AS4" s="510" t="s">
        <v>242</v>
      </c>
      <c r="AT4" s="510" t="s">
        <v>243</v>
      </c>
      <c r="AU4" s="407" t="s">
        <v>100</v>
      </c>
      <c r="AV4" s="1" t="s">
        <v>327</v>
      </c>
      <c r="AW4" s="364" t="s">
        <v>196</v>
      </c>
      <c r="AX4" s="365" t="s">
        <v>239</v>
      </c>
      <c r="AY4" s="355" t="s">
        <v>451</v>
      </c>
      <c r="AZ4" s="355" t="s">
        <v>100</v>
      </c>
      <c r="BA4" s="355" t="s">
        <v>275</v>
      </c>
      <c r="BB4" s="355" t="s">
        <v>276</v>
      </c>
      <c r="BC4" s="355" t="s">
        <v>101</v>
      </c>
      <c r="BD4" s="355" t="s">
        <v>277</v>
      </c>
      <c r="BE4" s="355" t="s">
        <v>278</v>
      </c>
      <c r="BF4" s="356" t="s">
        <v>101</v>
      </c>
      <c r="BG4" s="326" t="s">
        <v>327</v>
      </c>
      <c r="BH4" s="368" t="s">
        <v>195</v>
      </c>
      <c r="BI4" s="369" t="s">
        <v>238</v>
      </c>
      <c r="BJ4" s="354" t="s">
        <v>450</v>
      </c>
      <c r="BK4" s="354" t="s">
        <v>100</v>
      </c>
      <c r="BL4" s="354" t="s">
        <v>279</v>
      </c>
      <c r="BM4" s="354" t="s">
        <v>280</v>
      </c>
      <c r="BN4" s="354" t="s">
        <v>101</v>
      </c>
      <c r="BO4" s="354" t="s">
        <v>281</v>
      </c>
      <c r="BP4" s="354" t="s">
        <v>282</v>
      </c>
      <c r="BQ4" s="370" t="s">
        <v>101</v>
      </c>
      <c r="BR4" s="327" t="s">
        <v>327</v>
      </c>
      <c r="BS4" s="330" t="s">
        <v>298</v>
      </c>
      <c r="BT4" s="347" t="s">
        <v>753</v>
      </c>
      <c r="BU4" s="347" t="s">
        <v>754</v>
      </c>
      <c r="BV4" s="347" t="s">
        <v>755</v>
      </c>
      <c r="BW4" s="347" t="s">
        <v>756</v>
      </c>
      <c r="BX4" s="331" t="s">
        <v>299</v>
      </c>
      <c r="BY4" s="331" t="s">
        <v>300</v>
      </c>
      <c r="BZ4" s="331" t="s">
        <v>301</v>
      </c>
      <c r="CA4" s="348" t="s">
        <v>758</v>
      </c>
      <c r="CB4" s="348" t="s">
        <v>757</v>
      </c>
      <c r="CC4" s="348" t="s">
        <v>1222</v>
      </c>
      <c r="CD4" s="348" t="s">
        <v>1223</v>
      </c>
      <c r="CE4" s="714" t="s">
        <v>331</v>
      </c>
      <c r="CF4" s="328" t="s">
        <v>327</v>
      </c>
      <c r="CG4" s="336" t="s">
        <v>288</v>
      </c>
      <c r="CH4" s="337" t="s">
        <v>289</v>
      </c>
      <c r="CI4" s="337" t="s">
        <v>340</v>
      </c>
      <c r="CJ4" s="337" t="s">
        <v>341</v>
      </c>
      <c r="CK4" s="337" t="s">
        <v>342</v>
      </c>
      <c r="CL4" s="337" t="s">
        <v>343</v>
      </c>
      <c r="CM4" s="337" t="s">
        <v>315</v>
      </c>
      <c r="CN4" s="337" t="s">
        <v>290</v>
      </c>
      <c r="CO4" s="337" t="s">
        <v>291</v>
      </c>
      <c r="CP4" s="338" t="s">
        <v>292</v>
      </c>
      <c r="CQ4" s="342" t="s">
        <v>331</v>
      </c>
      <c r="CR4" s="328" t="s">
        <v>327</v>
      </c>
      <c r="CS4" s="330" t="s">
        <v>298</v>
      </c>
      <c r="CT4" s="347" t="s">
        <v>753</v>
      </c>
      <c r="CU4" s="347" t="s">
        <v>754</v>
      </c>
      <c r="CV4" s="347" t="s">
        <v>755</v>
      </c>
      <c r="CW4" s="347" t="s">
        <v>756</v>
      </c>
      <c r="CX4" s="331" t="s">
        <v>299</v>
      </c>
      <c r="CY4" s="331" t="s">
        <v>300</v>
      </c>
      <c r="CZ4" s="331" t="s">
        <v>301</v>
      </c>
      <c r="DA4" s="348" t="s">
        <v>758</v>
      </c>
      <c r="DB4" s="348" t="s">
        <v>757</v>
      </c>
      <c r="DC4" s="348" t="s">
        <v>1222</v>
      </c>
      <c r="DD4" s="348" t="s">
        <v>1223</v>
      </c>
      <c r="DE4" s="326" t="s">
        <v>327</v>
      </c>
      <c r="DF4" s="336" t="s">
        <v>288</v>
      </c>
      <c r="DG4" s="337" t="s">
        <v>289</v>
      </c>
      <c r="DH4" s="337" t="s">
        <v>340</v>
      </c>
      <c r="DI4" s="337" t="s">
        <v>341</v>
      </c>
      <c r="DJ4" s="337" t="s">
        <v>342</v>
      </c>
      <c r="DK4" s="337" t="s">
        <v>343</v>
      </c>
      <c r="DL4" s="337" t="s">
        <v>315</v>
      </c>
      <c r="DM4" s="337" t="s">
        <v>290</v>
      </c>
      <c r="DN4" s="337" t="s">
        <v>291</v>
      </c>
      <c r="DO4" s="338" t="s">
        <v>292</v>
      </c>
      <c r="DP4" s="328" t="s">
        <v>327</v>
      </c>
      <c r="DQ4" s="330" t="s">
        <v>298</v>
      </c>
      <c r="DR4" s="347" t="s">
        <v>753</v>
      </c>
      <c r="DS4" s="347" t="s">
        <v>754</v>
      </c>
      <c r="DT4" s="347" t="s">
        <v>755</v>
      </c>
      <c r="DU4" s="347" t="s">
        <v>756</v>
      </c>
      <c r="DV4" s="331" t="s">
        <v>299</v>
      </c>
      <c r="DW4" s="331" t="s">
        <v>300</v>
      </c>
      <c r="DX4" s="331" t="s">
        <v>301</v>
      </c>
      <c r="DY4" s="348" t="s">
        <v>758</v>
      </c>
      <c r="DZ4" s="348" t="s">
        <v>757</v>
      </c>
      <c r="EA4" s="348" t="s">
        <v>1222</v>
      </c>
      <c r="EB4" s="348" t="s">
        <v>1223</v>
      </c>
      <c r="EC4" s="326" t="s">
        <v>327</v>
      </c>
      <c r="ED4" s="336" t="s">
        <v>288</v>
      </c>
      <c r="EE4" s="337" t="s">
        <v>289</v>
      </c>
      <c r="EF4" s="337" t="s">
        <v>340</v>
      </c>
      <c r="EG4" s="337" t="s">
        <v>341</v>
      </c>
      <c r="EH4" s="337" t="s">
        <v>342</v>
      </c>
      <c r="EI4" s="337" t="s">
        <v>343</v>
      </c>
      <c r="EJ4" s="337" t="s">
        <v>315</v>
      </c>
      <c r="EK4" s="337" t="s">
        <v>290</v>
      </c>
      <c r="EL4" s="337" t="s">
        <v>291</v>
      </c>
      <c r="EM4" s="338" t="s">
        <v>292</v>
      </c>
      <c r="EN4" s="328" t="s">
        <v>327</v>
      </c>
      <c r="EO4" s="330" t="s">
        <v>298</v>
      </c>
      <c r="EP4" s="347" t="s">
        <v>753</v>
      </c>
      <c r="EQ4" s="347" t="s">
        <v>754</v>
      </c>
      <c r="ER4" s="347" t="s">
        <v>755</v>
      </c>
      <c r="ES4" s="347" t="s">
        <v>756</v>
      </c>
      <c r="ET4" s="331" t="s">
        <v>299</v>
      </c>
      <c r="EU4" s="331" t="s">
        <v>300</v>
      </c>
      <c r="EV4" s="331" t="s">
        <v>301</v>
      </c>
      <c r="EW4" s="348" t="s">
        <v>758</v>
      </c>
      <c r="EX4" s="348" t="s">
        <v>757</v>
      </c>
      <c r="EY4" s="348" t="s">
        <v>1222</v>
      </c>
      <c r="EZ4" s="348" t="s">
        <v>1223</v>
      </c>
      <c r="FA4" s="326" t="s">
        <v>327</v>
      </c>
      <c r="FB4" s="336" t="s">
        <v>288</v>
      </c>
      <c r="FC4" s="337" t="s">
        <v>289</v>
      </c>
      <c r="FD4" s="337" t="s">
        <v>340</v>
      </c>
      <c r="FE4" s="337" t="s">
        <v>341</v>
      </c>
      <c r="FF4" s="337" t="s">
        <v>342</v>
      </c>
      <c r="FG4" s="337" t="s">
        <v>343</v>
      </c>
      <c r="FH4" s="337" t="s">
        <v>315</v>
      </c>
      <c r="FI4" s="337" t="s">
        <v>290</v>
      </c>
      <c r="FJ4" s="337" t="s">
        <v>291</v>
      </c>
      <c r="FK4" s="338" t="s">
        <v>292</v>
      </c>
    </row>
    <row r="5" spans="1:167" ht="9.75" customHeight="1">
      <c r="A5" s="322"/>
      <c r="B5" s="375"/>
      <c r="C5" s="318"/>
      <c r="D5" s="319"/>
      <c r="E5" s="327" t="s">
        <v>327</v>
      </c>
      <c r="F5" s="468" t="s">
        <v>94</v>
      </c>
      <c r="G5" s="469" t="s">
        <v>94</v>
      </c>
      <c r="H5" s="469" t="s">
        <v>94</v>
      </c>
      <c r="I5" s="469" t="s">
        <v>94</v>
      </c>
      <c r="J5" s="469" t="s">
        <v>94</v>
      </c>
      <c r="K5" s="469" t="s">
        <v>94</v>
      </c>
      <c r="L5" s="470"/>
      <c r="M5" s="470"/>
      <c r="N5" s="326" t="s">
        <v>327</v>
      </c>
      <c r="O5" s="469" t="s">
        <v>94</v>
      </c>
      <c r="P5" s="469" t="s">
        <v>94</v>
      </c>
      <c r="Q5" s="469" t="s">
        <v>94</v>
      </c>
      <c r="R5" s="469" t="s">
        <v>94</v>
      </c>
      <c r="S5" s="469" t="s">
        <v>94</v>
      </c>
      <c r="T5" s="469" t="s">
        <v>94</v>
      </c>
      <c r="U5" s="470"/>
      <c r="V5" s="329"/>
      <c r="W5" s="326" t="s">
        <v>327</v>
      </c>
      <c r="X5" s="469" t="s">
        <v>94</v>
      </c>
      <c r="Y5" s="469" t="s">
        <v>94</v>
      </c>
      <c r="Z5" s="469" t="s">
        <v>94</v>
      </c>
      <c r="AA5" s="469" t="s">
        <v>94</v>
      </c>
      <c r="AB5" s="469" t="s">
        <v>94</v>
      </c>
      <c r="AC5" s="469" t="s">
        <v>188</v>
      </c>
      <c r="AD5" s="469" t="s">
        <v>94</v>
      </c>
      <c r="AE5" s="470"/>
      <c r="AF5" s="329"/>
      <c r="AG5" s="326" t="s">
        <v>327</v>
      </c>
      <c r="AH5" s="469" t="s">
        <v>94</v>
      </c>
      <c r="AI5" s="469" t="s">
        <v>94</v>
      </c>
      <c r="AJ5" s="469" t="s">
        <v>94</v>
      </c>
      <c r="AK5" s="469" t="s">
        <v>94</v>
      </c>
      <c r="AL5" s="469" t="s">
        <v>94</v>
      </c>
      <c r="AM5" s="469" t="s">
        <v>94</v>
      </c>
      <c r="AN5" s="469" t="s">
        <v>94</v>
      </c>
      <c r="AO5" s="470"/>
      <c r="AP5" s="329"/>
      <c r="AQ5" s="326" t="s">
        <v>327</v>
      </c>
      <c r="AR5" s="470"/>
      <c r="AS5" s="470" t="s">
        <v>177</v>
      </c>
      <c r="AT5" s="470"/>
      <c r="AU5" s="329"/>
      <c r="AV5" s="1" t="s">
        <v>327</v>
      </c>
      <c r="AW5" s="471" t="s">
        <v>177</v>
      </c>
      <c r="AX5" s="472"/>
      <c r="AY5" s="473"/>
      <c r="AZ5" s="473"/>
      <c r="BA5" s="473" t="s">
        <v>626</v>
      </c>
      <c r="BB5" s="473" t="s">
        <v>628</v>
      </c>
      <c r="BC5" s="473"/>
      <c r="BD5" s="473" t="s">
        <v>626</v>
      </c>
      <c r="BE5" s="473" t="s">
        <v>628</v>
      </c>
      <c r="BF5" s="473"/>
      <c r="BG5" s="326" t="s">
        <v>327</v>
      </c>
      <c r="BH5" s="371" t="s">
        <v>177</v>
      </c>
      <c r="BI5" s="372"/>
      <c r="BJ5" s="373"/>
      <c r="BK5" s="373"/>
      <c r="BL5" s="373" t="s">
        <v>626</v>
      </c>
      <c r="BM5" s="373" t="s">
        <v>627</v>
      </c>
      <c r="BN5" s="373"/>
      <c r="BO5" s="373" t="s">
        <v>626</v>
      </c>
      <c r="BP5" s="373" t="s">
        <v>627</v>
      </c>
      <c r="BQ5" s="374"/>
      <c r="BR5" s="327" t="s">
        <v>327</v>
      </c>
      <c r="BS5" s="332" t="s">
        <v>177</v>
      </c>
      <c r="BT5" s="351" t="s">
        <v>177</v>
      </c>
      <c r="BU5" s="351" t="s">
        <v>177</v>
      </c>
      <c r="BV5" s="351" t="s">
        <v>177</v>
      </c>
      <c r="BW5" s="351" t="s">
        <v>177</v>
      </c>
      <c r="BX5" s="351" t="s">
        <v>177</v>
      </c>
      <c r="BY5" s="351" t="s">
        <v>177</v>
      </c>
      <c r="BZ5" s="351" t="s">
        <v>177</v>
      </c>
      <c r="CA5" s="351" t="s">
        <v>177</v>
      </c>
      <c r="CB5" s="351" t="s">
        <v>177</v>
      </c>
      <c r="CC5" s="351" t="s">
        <v>177</v>
      </c>
      <c r="CD5" s="351" t="s">
        <v>177</v>
      </c>
      <c r="CE5" s="474"/>
      <c r="CF5" s="328" t="s">
        <v>327</v>
      </c>
      <c r="CG5" s="339" t="s">
        <v>177</v>
      </c>
      <c r="CH5" s="340" t="s">
        <v>177</v>
      </c>
      <c r="CI5" s="340" t="s">
        <v>177</v>
      </c>
      <c r="CJ5" s="340" t="s">
        <v>177</v>
      </c>
      <c r="CK5" s="340" t="s">
        <v>177</v>
      </c>
      <c r="CL5" s="340" t="s">
        <v>177</v>
      </c>
      <c r="CM5" s="340" t="s">
        <v>177</v>
      </c>
      <c r="CN5" s="340" t="s">
        <v>177</v>
      </c>
      <c r="CO5" s="340" t="s">
        <v>177</v>
      </c>
      <c r="CP5" s="341" t="s">
        <v>177</v>
      </c>
      <c r="CQ5" s="475"/>
      <c r="CR5" s="328" t="s">
        <v>327</v>
      </c>
      <c r="CS5" s="332" t="s">
        <v>348</v>
      </c>
      <c r="CT5" s="351" t="s">
        <v>348</v>
      </c>
      <c r="CU5" s="351" t="s">
        <v>348</v>
      </c>
      <c r="CV5" s="351" t="s">
        <v>348</v>
      </c>
      <c r="CW5" s="351" t="s">
        <v>348</v>
      </c>
      <c r="CX5" s="351" t="s">
        <v>348</v>
      </c>
      <c r="CY5" s="351" t="s">
        <v>348</v>
      </c>
      <c r="CZ5" s="351" t="s">
        <v>348</v>
      </c>
      <c r="DA5" s="351" t="s">
        <v>348</v>
      </c>
      <c r="DB5" s="351" t="s">
        <v>348</v>
      </c>
      <c r="DC5" s="351" t="s">
        <v>348</v>
      </c>
      <c r="DD5" s="351" t="s">
        <v>348</v>
      </c>
      <c r="DE5" s="326" t="s">
        <v>327</v>
      </c>
      <c r="DF5" s="343" t="s">
        <v>348</v>
      </c>
      <c r="DG5" s="340" t="s">
        <v>348</v>
      </c>
      <c r="DH5" s="340" t="s">
        <v>348</v>
      </c>
      <c r="DI5" s="340" t="s">
        <v>348</v>
      </c>
      <c r="DJ5" s="340" t="s">
        <v>348</v>
      </c>
      <c r="DK5" s="340" t="s">
        <v>348</v>
      </c>
      <c r="DL5" s="340" t="s">
        <v>348</v>
      </c>
      <c r="DM5" s="340" t="s">
        <v>348</v>
      </c>
      <c r="DN5" s="340" t="s">
        <v>348</v>
      </c>
      <c r="DO5" s="341" t="s">
        <v>348</v>
      </c>
      <c r="DP5" s="328" t="s">
        <v>327</v>
      </c>
      <c r="DQ5" s="332" t="s">
        <v>348</v>
      </c>
      <c r="DR5" s="351" t="s">
        <v>348</v>
      </c>
      <c r="DS5" s="351" t="s">
        <v>348</v>
      </c>
      <c r="DT5" s="351" t="s">
        <v>348</v>
      </c>
      <c r="DU5" s="351" t="s">
        <v>348</v>
      </c>
      <c r="DV5" s="351" t="s">
        <v>348</v>
      </c>
      <c r="DW5" s="351" t="s">
        <v>348</v>
      </c>
      <c r="DX5" s="351" t="s">
        <v>348</v>
      </c>
      <c r="DY5" s="351" t="s">
        <v>348</v>
      </c>
      <c r="DZ5" s="351" t="s">
        <v>348</v>
      </c>
      <c r="EA5" s="351" t="s">
        <v>348</v>
      </c>
      <c r="EB5" s="351" t="s">
        <v>348</v>
      </c>
      <c r="EC5" s="326" t="s">
        <v>327</v>
      </c>
      <c r="ED5" s="343" t="s">
        <v>348</v>
      </c>
      <c r="EE5" s="340" t="s">
        <v>348</v>
      </c>
      <c r="EF5" s="340" t="s">
        <v>348</v>
      </c>
      <c r="EG5" s="340" t="s">
        <v>348</v>
      </c>
      <c r="EH5" s="340" t="s">
        <v>348</v>
      </c>
      <c r="EI5" s="340" t="s">
        <v>348</v>
      </c>
      <c r="EJ5" s="340" t="s">
        <v>348</v>
      </c>
      <c r="EK5" s="340" t="s">
        <v>348</v>
      </c>
      <c r="EL5" s="340" t="s">
        <v>348</v>
      </c>
      <c r="EM5" s="341" t="s">
        <v>348</v>
      </c>
      <c r="EN5" s="328" t="s">
        <v>327</v>
      </c>
      <c r="EO5" s="332" t="s">
        <v>348</v>
      </c>
      <c r="EP5" s="351" t="s">
        <v>348</v>
      </c>
      <c r="EQ5" s="351" t="s">
        <v>348</v>
      </c>
      <c r="ER5" s="351" t="s">
        <v>348</v>
      </c>
      <c r="ES5" s="351" t="s">
        <v>348</v>
      </c>
      <c r="ET5" s="351" t="s">
        <v>348</v>
      </c>
      <c r="EU5" s="351" t="s">
        <v>348</v>
      </c>
      <c r="EV5" s="351" t="s">
        <v>348</v>
      </c>
      <c r="EW5" s="351" t="s">
        <v>348</v>
      </c>
      <c r="EX5" s="351" t="s">
        <v>348</v>
      </c>
      <c r="EY5" s="351" t="s">
        <v>348</v>
      </c>
      <c r="EZ5" s="351" t="s">
        <v>348</v>
      </c>
      <c r="FA5" s="326" t="s">
        <v>327</v>
      </c>
      <c r="FB5" s="343" t="s">
        <v>348</v>
      </c>
      <c r="FC5" s="340" t="s">
        <v>348</v>
      </c>
      <c r="FD5" s="340" t="s">
        <v>348</v>
      </c>
      <c r="FE5" s="340" t="s">
        <v>348</v>
      </c>
      <c r="FF5" s="340" t="s">
        <v>348</v>
      </c>
      <c r="FG5" s="340" t="s">
        <v>348</v>
      </c>
      <c r="FH5" s="340" t="s">
        <v>348</v>
      </c>
      <c r="FI5" s="340" t="s">
        <v>348</v>
      </c>
      <c r="FJ5" s="340" t="s">
        <v>348</v>
      </c>
      <c r="FK5" s="341" t="s">
        <v>348</v>
      </c>
    </row>
    <row r="6" spans="1:167" s="6" customFormat="1">
      <c r="A6" s="186" t="s">
        <v>147</v>
      </c>
      <c r="B6" s="186" t="s">
        <v>148</v>
      </c>
      <c r="C6" s="187" t="s">
        <v>105</v>
      </c>
      <c r="D6" s="252">
        <v>1</v>
      </c>
      <c r="E6" s="326" t="s">
        <v>327</v>
      </c>
      <c r="F6" s="154"/>
      <c r="G6" s="154"/>
      <c r="H6" s="154"/>
      <c r="I6" s="154"/>
      <c r="J6" s="154"/>
      <c r="K6" s="154"/>
      <c r="L6" s="156"/>
      <c r="M6" s="478"/>
      <c r="N6" s="326" t="s">
        <v>327</v>
      </c>
      <c r="O6" s="191"/>
      <c r="P6" s="191"/>
      <c r="Q6" s="191"/>
      <c r="R6" s="191"/>
      <c r="S6" s="189"/>
      <c r="T6" s="189"/>
      <c r="U6" s="193"/>
      <c r="V6" s="193"/>
      <c r="W6" s="326" t="s">
        <v>327</v>
      </c>
      <c r="X6" s="189">
        <v>3000</v>
      </c>
      <c r="Y6" s="189">
        <v>3000</v>
      </c>
      <c r="Z6" s="189">
        <v>3000</v>
      </c>
      <c r="AA6" s="189">
        <v>3000</v>
      </c>
      <c r="AB6" s="189">
        <v>3000</v>
      </c>
      <c r="AC6" s="189">
        <v>3000</v>
      </c>
      <c r="AD6" s="189">
        <v>3000</v>
      </c>
      <c r="AE6" s="189" t="s">
        <v>648</v>
      </c>
      <c r="AF6" s="255" t="s">
        <v>327</v>
      </c>
      <c r="AG6" s="326" t="s">
        <v>327</v>
      </c>
      <c r="AH6" s="189"/>
      <c r="AI6" s="189"/>
      <c r="AJ6" s="189">
        <f>AB6</f>
        <v>3000</v>
      </c>
      <c r="AK6" s="189">
        <v>3000</v>
      </c>
      <c r="AL6" s="189"/>
      <c r="AM6" s="189"/>
      <c r="AN6" s="189">
        <f t="shared" ref="AN6:AN59" si="0">AK6</f>
        <v>3000</v>
      </c>
      <c r="AO6" s="189" t="str">
        <f>AE6</f>
        <v>American Radio Relay League. Personal communication with Matt Jones, D&amp;R International. August 2008.</v>
      </c>
      <c r="AP6" s="255" t="str">
        <f>AF6</f>
        <v xml:space="preserve"> </v>
      </c>
      <c r="AQ6" s="326" t="s">
        <v>327</v>
      </c>
      <c r="AR6" s="194" t="s">
        <v>775</v>
      </c>
      <c r="AS6" s="511">
        <v>0</v>
      </c>
      <c r="AT6" s="193"/>
      <c r="AU6" s="193"/>
      <c r="AV6" s="326" t="s">
        <v>327</v>
      </c>
      <c r="AW6" s="195">
        <v>1</v>
      </c>
      <c r="AX6" s="196">
        <v>1</v>
      </c>
      <c r="AY6" s="192" t="s">
        <v>410</v>
      </c>
      <c r="AZ6" s="193"/>
      <c r="BA6" s="193"/>
      <c r="BB6" s="193"/>
      <c r="BC6" s="193"/>
      <c r="BD6" s="193"/>
      <c r="BE6" s="193"/>
      <c r="BF6" s="197"/>
      <c r="BG6" s="326" t="s">
        <v>327</v>
      </c>
      <c r="BH6" s="195">
        <v>0</v>
      </c>
      <c r="BI6" s="196">
        <v>0</v>
      </c>
      <c r="BJ6" s="193" t="s">
        <v>400</v>
      </c>
      <c r="BK6" s="193"/>
      <c r="BL6" s="193" t="s">
        <v>283</v>
      </c>
      <c r="BM6" s="193" t="s">
        <v>283</v>
      </c>
      <c r="BN6" s="193" t="s">
        <v>283</v>
      </c>
      <c r="BO6" s="193"/>
      <c r="BP6" s="193"/>
      <c r="BQ6" s="193"/>
      <c r="BR6" s="326" t="s">
        <v>327</v>
      </c>
      <c r="BS6" s="198">
        <v>0</v>
      </c>
      <c r="BT6" s="198">
        <v>0</v>
      </c>
      <c r="BU6" s="198">
        <v>0</v>
      </c>
      <c r="BV6" s="198">
        <v>0</v>
      </c>
      <c r="BW6" s="198">
        <v>0</v>
      </c>
      <c r="BX6" s="198">
        <v>0</v>
      </c>
      <c r="BY6" s="198">
        <v>0</v>
      </c>
      <c r="BZ6" s="198">
        <v>0</v>
      </c>
      <c r="CA6" s="198">
        <v>0</v>
      </c>
      <c r="CB6" s="198">
        <v>1</v>
      </c>
      <c r="CC6" s="198">
        <v>0</v>
      </c>
      <c r="CD6" s="715">
        <v>0</v>
      </c>
      <c r="CE6" s="193" t="s">
        <v>430</v>
      </c>
      <c r="CF6" s="326" t="s">
        <v>327</v>
      </c>
      <c r="CG6" s="379">
        <v>0</v>
      </c>
      <c r="CH6" s="380">
        <v>0</v>
      </c>
      <c r="CI6" s="380">
        <v>0</v>
      </c>
      <c r="CJ6" s="380">
        <v>0</v>
      </c>
      <c r="CK6" s="380">
        <v>0</v>
      </c>
      <c r="CL6" s="380">
        <v>0</v>
      </c>
      <c r="CM6" s="380">
        <v>0</v>
      </c>
      <c r="CN6" s="380">
        <v>0</v>
      </c>
      <c r="CO6" s="380">
        <v>0</v>
      </c>
      <c r="CP6" s="386">
        <v>0</v>
      </c>
      <c r="CQ6" s="193" t="s">
        <v>430</v>
      </c>
      <c r="CR6" s="326" t="s">
        <v>327</v>
      </c>
      <c r="CS6" s="200">
        <f t="shared" ref="CS6:CS37" si="1">$AN6*$AW6*$AX6*BS6</f>
        <v>0</v>
      </c>
      <c r="CT6" s="154">
        <f t="shared" ref="CT6:CT37" si="2">$AN6*$AW6*$AX6*BT6</f>
        <v>0</v>
      </c>
      <c r="CU6" s="154">
        <f t="shared" ref="CU6:CU37" si="3">$AN6*$AW6*$AX6*BU6</f>
        <v>0</v>
      </c>
      <c r="CV6" s="154">
        <f t="shared" ref="CV6:CV37" si="4">$AN6*$AW6*$AX6*BV6</f>
        <v>0</v>
      </c>
      <c r="CW6" s="154">
        <f t="shared" ref="CW6:CW37" si="5">$AN6*$AW6*$AX6*BW6</f>
        <v>0</v>
      </c>
      <c r="CX6" s="154">
        <f t="shared" ref="CX6:CX37" si="6">$AN6*$AW6*$AX6*BX6</f>
        <v>0</v>
      </c>
      <c r="CY6" s="154">
        <f t="shared" ref="CY6:CY37" si="7">$AN6*$AW6*$AX6*BY6</f>
        <v>0</v>
      </c>
      <c r="CZ6" s="154">
        <f t="shared" ref="CZ6:CZ37" si="8">$AN6*$AW6*$AX6*BZ6</f>
        <v>0</v>
      </c>
      <c r="DA6" s="154">
        <f t="shared" ref="DA6:DA37" si="9">$AN6*$AW6*$AX6*CA6</f>
        <v>0</v>
      </c>
      <c r="DB6" s="154">
        <f t="shared" ref="DB6:DB37" si="10">$AN6*$AW6*$AX6*CB6</f>
        <v>3000</v>
      </c>
      <c r="DC6" s="154">
        <f t="shared" ref="DC6:DC37" si="11">$AN6*$AW6*$AX6*CC6</f>
        <v>0</v>
      </c>
      <c r="DD6" s="154">
        <f t="shared" ref="DD6:DD37" si="12">$AN6*$AW6*$AX6*CD6</f>
        <v>0</v>
      </c>
      <c r="DE6" s="326"/>
      <c r="DF6" s="201">
        <f t="shared" ref="DF6:DF37" si="13">$AN6*$BH6*$BI6*CG6</f>
        <v>0</v>
      </c>
      <c r="DG6" s="202">
        <f t="shared" ref="DG6:DG37" si="14">$AN6*$BH6*$BI6*CH6</f>
        <v>0</v>
      </c>
      <c r="DH6" s="202">
        <f t="shared" ref="DH6:DH37" si="15">$AN6*$BH6*$BI6*CI6</f>
        <v>0</v>
      </c>
      <c r="DI6" s="202">
        <f t="shared" ref="DI6:DI37" si="16">$AN6*$BH6*$BI6*CJ6</f>
        <v>0</v>
      </c>
      <c r="DJ6" s="202">
        <f t="shared" ref="DJ6:DJ37" si="17">$AN6*$BH6*$BI6*CK6</f>
        <v>0</v>
      </c>
      <c r="DK6" s="202">
        <f t="shared" ref="DK6:DK37" si="18">$AN6*$BH6*$BI6*CL6</f>
        <v>0</v>
      </c>
      <c r="DL6" s="202">
        <f t="shared" ref="DL6:DL37" si="19">$AN6*$BH6*$BI6*CM6</f>
        <v>0</v>
      </c>
      <c r="DM6" s="202">
        <f t="shared" ref="DM6:DM37" si="20">$AN6*$BH6*$BI6*CN6</f>
        <v>0</v>
      </c>
      <c r="DN6" s="202">
        <f t="shared" ref="DN6:DN37" si="21">$AN6*$BH6*$BI6*CO6</f>
        <v>0</v>
      </c>
      <c r="DO6" s="203">
        <f t="shared" ref="DO6:DO37" si="22">$AN6*$BH6*$BI6*CP6</f>
        <v>0</v>
      </c>
      <c r="DP6" s="326" t="s">
        <v>327</v>
      </c>
      <c r="DQ6" s="200">
        <f t="shared" ref="DQ6:EA6" si="23">CS6*(1-$AS6)</f>
        <v>0</v>
      </c>
      <c r="DR6" s="154">
        <f t="shared" si="23"/>
        <v>0</v>
      </c>
      <c r="DS6" s="154">
        <f t="shared" si="23"/>
        <v>0</v>
      </c>
      <c r="DT6" s="154">
        <f t="shared" si="23"/>
        <v>0</v>
      </c>
      <c r="DU6" s="154">
        <f t="shared" si="23"/>
        <v>0</v>
      </c>
      <c r="DV6" s="154">
        <f t="shared" si="23"/>
        <v>0</v>
      </c>
      <c r="DW6" s="154">
        <f t="shared" si="23"/>
        <v>0</v>
      </c>
      <c r="DX6" s="154">
        <f t="shared" si="23"/>
        <v>0</v>
      </c>
      <c r="DY6" s="154">
        <f t="shared" si="23"/>
        <v>0</v>
      </c>
      <c r="DZ6" s="154">
        <f t="shared" si="23"/>
        <v>3000</v>
      </c>
      <c r="EA6" s="154">
        <f t="shared" si="23"/>
        <v>0</v>
      </c>
      <c r="EB6" s="154">
        <f t="shared" ref="EB6" si="24">DD6*(1-$AS6)</f>
        <v>0</v>
      </c>
      <c r="EC6" s="326"/>
      <c r="ED6" s="201">
        <f>DF6*(1-$AS6)</f>
        <v>0</v>
      </c>
      <c r="EE6" s="202">
        <f t="shared" ref="EE6:EM21" si="25">DG6*(1-$AS6)</f>
        <v>0</v>
      </c>
      <c r="EF6" s="202">
        <f t="shared" si="25"/>
        <v>0</v>
      </c>
      <c r="EG6" s="202">
        <f t="shared" si="25"/>
        <v>0</v>
      </c>
      <c r="EH6" s="202">
        <f t="shared" si="25"/>
        <v>0</v>
      </c>
      <c r="EI6" s="202">
        <f t="shared" si="25"/>
        <v>0</v>
      </c>
      <c r="EJ6" s="202">
        <f t="shared" si="25"/>
        <v>0</v>
      </c>
      <c r="EK6" s="202">
        <f t="shared" si="25"/>
        <v>0</v>
      </c>
      <c r="EL6" s="202">
        <f t="shared" si="25"/>
        <v>0</v>
      </c>
      <c r="EM6" s="203">
        <f t="shared" si="25"/>
        <v>0</v>
      </c>
      <c r="EN6" s="326" t="s">
        <v>327</v>
      </c>
      <c r="EO6" s="200">
        <f t="shared" ref="EO6:EY6" si="26">CS6*$AS6</f>
        <v>0</v>
      </c>
      <c r="EP6" s="154">
        <f t="shared" si="26"/>
        <v>0</v>
      </c>
      <c r="EQ6" s="154">
        <f t="shared" si="26"/>
        <v>0</v>
      </c>
      <c r="ER6" s="154">
        <f t="shared" si="26"/>
        <v>0</v>
      </c>
      <c r="ES6" s="154">
        <f t="shared" si="26"/>
        <v>0</v>
      </c>
      <c r="ET6" s="154">
        <f t="shared" si="26"/>
        <v>0</v>
      </c>
      <c r="EU6" s="154">
        <f t="shared" si="26"/>
        <v>0</v>
      </c>
      <c r="EV6" s="154">
        <f t="shared" si="26"/>
        <v>0</v>
      </c>
      <c r="EW6" s="154">
        <f t="shared" si="26"/>
        <v>0</v>
      </c>
      <c r="EX6" s="154">
        <f t="shared" si="26"/>
        <v>0</v>
      </c>
      <c r="EY6" s="154">
        <f t="shared" si="26"/>
        <v>0</v>
      </c>
      <c r="EZ6" s="154">
        <f t="shared" ref="EZ6" si="27">DD6*$AS6</f>
        <v>0</v>
      </c>
      <c r="FA6" s="326"/>
      <c r="FB6" s="201">
        <f>DF6*$AS6</f>
        <v>0</v>
      </c>
      <c r="FC6" s="202">
        <f t="shared" ref="FC6:FK21" si="28">DG6*$AS6</f>
        <v>0</v>
      </c>
      <c r="FD6" s="202">
        <f t="shared" si="28"/>
        <v>0</v>
      </c>
      <c r="FE6" s="202">
        <f t="shared" si="28"/>
        <v>0</v>
      </c>
      <c r="FF6" s="202">
        <f t="shared" si="28"/>
        <v>0</v>
      </c>
      <c r="FG6" s="202">
        <f t="shared" si="28"/>
        <v>0</v>
      </c>
      <c r="FH6" s="202">
        <f t="shared" si="28"/>
        <v>0</v>
      </c>
      <c r="FI6" s="202">
        <f t="shared" si="28"/>
        <v>0</v>
      </c>
      <c r="FJ6" s="202">
        <f t="shared" si="28"/>
        <v>0</v>
      </c>
      <c r="FK6" s="203">
        <f t="shared" si="28"/>
        <v>0</v>
      </c>
    </row>
    <row r="7" spans="1:167" s="6" customFormat="1">
      <c r="A7" s="204" t="s">
        <v>147</v>
      </c>
      <c r="B7" s="204" t="s">
        <v>148</v>
      </c>
      <c r="C7" s="205" t="s">
        <v>106</v>
      </c>
      <c r="D7" s="206">
        <f>D6+1</f>
        <v>2</v>
      </c>
      <c r="E7" s="327" t="s">
        <v>327</v>
      </c>
      <c r="F7" s="219">
        <v>520000</v>
      </c>
      <c r="G7" s="219">
        <v>525000</v>
      </c>
      <c r="H7" s="219">
        <v>515000</v>
      </c>
      <c r="I7" s="219"/>
      <c r="J7" s="219"/>
      <c r="K7" s="219"/>
      <c r="L7" s="479" t="s">
        <v>870</v>
      </c>
      <c r="M7" s="480" t="s">
        <v>801</v>
      </c>
      <c r="N7" s="327" t="s">
        <v>327</v>
      </c>
      <c r="O7" s="209"/>
      <c r="P7" s="209"/>
      <c r="Q7" s="209"/>
      <c r="R7" s="209"/>
      <c r="S7" s="207"/>
      <c r="T7" s="207"/>
      <c r="U7" s="211"/>
      <c r="V7" s="211"/>
      <c r="W7" s="326" t="s">
        <v>327</v>
      </c>
      <c r="X7" s="207">
        <v>0</v>
      </c>
      <c r="Y7" s="207">
        <v>0</v>
      </c>
      <c r="Z7" s="207">
        <v>0</v>
      </c>
      <c r="AA7" s="207">
        <v>0</v>
      </c>
      <c r="AB7" s="207">
        <v>10000</v>
      </c>
      <c r="AC7" s="207">
        <v>0</v>
      </c>
      <c r="AD7" s="207">
        <v>10000</v>
      </c>
      <c r="AE7" s="207" t="s">
        <v>237</v>
      </c>
      <c r="AF7" s="211"/>
      <c r="AG7" s="326" t="s">
        <v>327</v>
      </c>
      <c r="AH7" s="207">
        <v>520000</v>
      </c>
      <c r="AI7" s="207">
        <v>525000</v>
      </c>
      <c r="AJ7" s="207">
        <v>515000</v>
      </c>
      <c r="AK7" s="207">
        <f>AJ7*1.009</f>
        <v>519634.99999999994</v>
      </c>
      <c r="AL7" s="207"/>
      <c r="AM7" s="207"/>
      <c r="AN7" s="207">
        <f t="shared" si="0"/>
        <v>519634.99999999994</v>
      </c>
      <c r="AO7" s="207" t="str">
        <f t="shared" ref="AO7:AP10" si="29">L7</f>
        <v>NAMM 2009</v>
      </c>
      <c r="AP7" s="211" t="str">
        <f t="shared" si="29"/>
        <v>Shipments for "Rack-Mounted Processors" including" compressors, limiters, pre-amps, Eqs and multi-effects.</v>
      </c>
      <c r="AQ7" s="326" t="s">
        <v>327</v>
      </c>
      <c r="AR7" s="216" t="s">
        <v>775</v>
      </c>
      <c r="AS7" s="512">
        <v>0</v>
      </c>
      <c r="AT7" s="211"/>
      <c r="AU7" s="211"/>
      <c r="AV7" s="326" t="s">
        <v>327</v>
      </c>
      <c r="AW7" s="213">
        <v>1</v>
      </c>
      <c r="AX7" s="214">
        <v>1</v>
      </c>
      <c r="AY7" s="211" t="s">
        <v>271</v>
      </c>
      <c r="AZ7" s="211"/>
      <c r="BA7" s="211"/>
      <c r="BB7" s="211"/>
      <c r="BC7" s="211"/>
      <c r="BD7" s="211"/>
      <c r="BE7" s="211"/>
      <c r="BF7" s="215"/>
      <c r="BG7" s="326" t="s">
        <v>327</v>
      </c>
      <c r="BH7" s="213">
        <v>0</v>
      </c>
      <c r="BI7" s="214">
        <v>0</v>
      </c>
      <c r="BJ7" s="211" t="s">
        <v>249</v>
      </c>
      <c r="BK7" s="211"/>
      <c r="BL7" s="211" t="s">
        <v>283</v>
      </c>
      <c r="BM7" s="211" t="s">
        <v>283</v>
      </c>
      <c r="BN7" s="211" t="s">
        <v>283</v>
      </c>
      <c r="BO7" s="211"/>
      <c r="BP7" s="211"/>
      <c r="BQ7" s="211"/>
      <c r="BR7" s="326" t="s">
        <v>327</v>
      </c>
      <c r="BS7" s="216">
        <v>1</v>
      </c>
      <c r="BT7" s="216">
        <v>1</v>
      </c>
      <c r="BU7" s="216">
        <v>0</v>
      </c>
      <c r="BV7" s="216">
        <v>0</v>
      </c>
      <c r="BW7" s="216">
        <v>0</v>
      </c>
      <c r="BX7" s="216">
        <v>0</v>
      </c>
      <c r="BY7" s="216">
        <v>0</v>
      </c>
      <c r="BZ7" s="216">
        <v>0</v>
      </c>
      <c r="CA7" s="216">
        <v>0</v>
      </c>
      <c r="CB7" s="216">
        <v>0</v>
      </c>
      <c r="CC7" s="216">
        <v>0</v>
      </c>
      <c r="CD7" s="217">
        <v>0</v>
      </c>
      <c r="CE7" s="211" t="s">
        <v>263</v>
      </c>
      <c r="CF7" s="326" t="s">
        <v>327</v>
      </c>
      <c r="CG7" s="377">
        <v>0</v>
      </c>
      <c r="CH7" s="378">
        <v>0</v>
      </c>
      <c r="CI7" s="378">
        <v>0</v>
      </c>
      <c r="CJ7" s="378">
        <v>0</v>
      </c>
      <c r="CK7" s="378">
        <v>0</v>
      </c>
      <c r="CL7" s="378">
        <v>0</v>
      </c>
      <c r="CM7" s="378">
        <v>0</v>
      </c>
      <c r="CN7" s="378">
        <v>0</v>
      </c>
      <c r="CO7" s="378">
        <v>0</v>
      </c>
      <c r="CP7" s="385">
        <v>0</v>
      </c>
      <c r="CQ7" s="211" t="s">
        <v>263</v>
      </c>
      <c r="CR7" s="326" t="s">
        <v>327</v>
      </c>
      <c r="CS7" s="218">
        <f t="shared" si="1"/>
        <v>519634.99999999994</v>
      </c>
      <c r="CT7" s="219">
        <f t="shared" si="2"/>
        <v>519634.99999999994</v>
      </c>
      <c r="CU7" s="219">
        <f t="shared" si="3"/>
        <v>0</v>
      </c>
      <c r="CV7" s="219">
        <f t="shared" si="4"/>
        <v>0</v>
      </c>
      <c r="CW7" s="219">
        <f t="shared" si="5"/>
        <v>0</v>
      </c>
      <c r="CX7" s="219">
        <f t="shared" si="6"/>
        <v>0</v>
      </c>
      <c r="CY7" s="219">
        <f t="shared" si="7"/>
        <v>0</v>
      </c>
      <c r="CZ7" s="219">
        <f t="shared" si="8"/>
        <v>0</v>
      </c>
      <c r="DA7" s="219">
        <f t="shared" si="9"/>
        <v>0</v>
      </c>
      <c r="DB7" s="219">
        <f t="shared" si="10"/>
        <v>0</v>
      </c>
      <c r="DC7" s="219">
        <f t="shared" si="11"/>
        <v>0</v>
      </c>
      <c r="DD7" s="219">
        <f t="shared" si="12"/>
        <v>0</v>
      </c>
      <c r="DE7" s="326"/>
      <c r="DF7" s="220">
        <f t="shared" si="13"/>
        <v>0</v>
      </c>
      <c r="DG7" s="221">
        <f t="shared" si="14"/>
        <v>0</v>
      </c>
      <c r="DH7" s="221">
        <f t="shared" si="15"/>
        <v>0</v>
      </c>
      <c r="DI7" s="221">
        <f t="shared" si="16"/>
        <v>0</v>
      </c>
      <c r="DJ7" s="221">
        <f t="shared" si="17"/>
        <v>0</v>
      </c>
      <c r="DK7" s="221">
        <f t="shared" si="18"/>
        <v>0</v>
      </c>
      <c r="DL7" s="221">
        <f t="shared" si="19"/>
        <v>0</v>
      </c>
      <c r="DM7" s="221">
        <f t="shared" si="20"/>
        <v>0</v>
      </c>
      <c r="DN7" s="221">
        <f t="shared" si="21"/>
        <v>0</v>
      </c>
      <c r="DO7" s="222">
        <f t="shared" si="22"/>
        <v>0</v>
      </c>
      <c r="DP7" s="326" t="s">
        <v>327</v>
      </c>
      <c r="DQ7" s="218">
        <f t="shared" ref="DQ7:DQ67" si="30">CS7*(1-$AS7)</f>
        <v>519634.99999999994</v>
      </c>
      <c r="DR7" s="219">
        <f t="shared" ref="DR7:DR20" si="31">CT7*(1-$AS7)</f>
        <v>519634.99999999994</v>
      </c>
      <c r="DS7" s="219">
        <f t="shared" ref="DS7:DS20" si="32">CU7*(1-$AS7)</f>
        <v>0</v>
      </c>
      <c r="DT7" s="219">
        <f t="shared" ref="DT7:DT20" si="33">CV7*(1-$AS7)</f>
        <v>0</v>
      </c>
      <c r="DU7" s="219">
        <f t="shared" ref="DU7:DU20" si="34">CW7*(1-$AS7)</f>
        <v>0</v>
      </c>
      <c r="DV7" s="219">
        <f t="shared" ref="DV7:DV20" si="35">CX7*(1-$AS7)</f>
        <v>0</v>
      </c>
      <c r="DW7" s="219">
        <f t="shared" ref="DW7:DW20" si="36">CY7*(1-$AS7)</f>
        <v>0</v>
      </c>
      <c r="DX7" s="219">
        <f t="shared" ref="DX7:DX20" si="37">CZ7*(1-$AS7)</f>
        <v>0</v>
      </c>
      <c r="DY7" s="219">
        <f t="shared" ref="DY7:DY20" si="38">DA7*(1-$AS7)</f>
        <v>0</v>
      </c>
      <c r="DZ7" s="219">
        <f t="shared" ref="DZ7:DZ20" si="39">DB7*(1-$AS7)</f>
        <v>0</v>
      </c>
      <c r="EA7" s="219">
        <f t="shared" ref="EA7:EA70" si="40">DC7*(1-$AS7)</f>
        <v>0</v>
      </c>
      <c r="EB7" s="219">
        <f t="shared" ref="EB7:EB20" si="41">DD7*(1-$AS7)</f>
        <v>0</v>
      </c>
      <c r="EC7" s="326"/>
      <c r="ED7" s="220">
        <f t="shared" ref="ED7:ED67" si="42">DF7*(1-$AS7)</f>
        <v>0</v>
      </c>
      <c r="EE7" s="221">
        <f t="shared" si="25"/>
        <v>0</v>
      </c>
      <c r="EF7" s="221">
        <f t="shared" si="25"/>
        <v>0</v>
      </c>
      <c r="EG7" s="221">
        <f t="shared" si="25"/>
        <v>0</v>
      </c>
      <c r="EH7" s="221">
        <f t="shared" si="25"/>
        <v>0</v>
      </c>
      <c r="EI7" s="221">
        <f t="shared" si="25"/>
        <v>0</v>
      </c>
      <c r="EJ7" s="221">
        <f t="shared" si="25"/>
        <v>0</v>
      </c>
      <c r="EK7" s="221">
        <f t="shared" si="25"/>
        <v>0</v>
      </c>
      <c r="EL7" s="221">
        <f t="shared" si="25"/>
        <v>0</v>
      </c>
      <c r="EM7" s="222">
        <f t="shared" si="25"/>
        <v>0</v>
      </c>
      <c r="EN7" s="326" t="s">
        <v>327</v>
      </c>
      <c r="EO7" s="218">
        <f t="shared" ref="EO7:EO67" si="43">CS7*$AS7</f>
        <v>0</v>
      </c>
      <c r="EP7" s="219">
        <f t="shared" ref="EP7:EP20" si="44">CT7*$AS7</f>
        <v>0</v>
      </c>
      <c r="EQ7" s="219">
        <f t="shared" ref="EQ7:EQ20" si="45">CU7*$AS7</f>
        <v>0</v>
      </c>
      <c r="ER7" s="219">
        <f t="shared" ref="ER7:ER20" si="46">CV7*$AS7</f>
        <v>0</v>
      </c>
      <c r="ES7" s="219">
        <f t="shared" ref="ES7:ES20" si="47">CW7*$AS7</f>
        <v>0</v>
      </c>
      <c r="ET7" s="219">
        <f t="shared" ref="ET7:ET20" si="48">CX7*$AS7</f>
        <v>0</v>
      </c>
      <c r="EU7" s="219">
        <f t="shared" ref="EU7:EU20" si="49">CY7*$AS7</f>
        <v>0</v>
      </c>
      <c r="EV7" s="219">
        <f t="shared" ref="EV7:EV20" si="50">CZ7*$AS7</f>
        <v>0</v>
      </c>
      <c r="EW7" s="219">
        <f t="shared" ref="EW7:EW20" si="51">DA7*$AS7</f>
        <v>0</v>
      </c>
      <c r="EX7" s="219">
        <f t="shared" ref="EX7:EX20" si="52">DB7*$AS7</f>
        <v>0</v>
      </c>
      <c r="EY7" s="219">
        <f t="shared" ref="EY7:EY70" si="53">DC7*$AS7</f>
        <v>0</v>
      </c>
      <c r="EZ7" s="219">
        <f t="shared" ref="EZ7:EZ20" si="54">DD7*$AS7</f>
        <v>0</v>
      </c>
      <c r="FA7" s="326"/>
      <c r="FB7" s="220">
        <f t="shared" ref="FB7:FB67" si="55">DF7*$AS7</f>
        <v>0</v>
      </c>
      <c r="FC7" s="221">
        <f t="shared" si="28"/>
        <v>0</v>
      </c>
      <c r="FD7" s="221">
        <f t="shared" si="28"/>
        <v>0</v>
      </c>
      <c r="FE7" s="221">
        <f t="shared" si="28"/>
        <v>0</v>
      </c>
      <c r="FF7" s="221">
        <f t="shared" si="28"/>
        <v>0</v>
      </c>
      <c r="FG7" s="221">
        <f t="shared" si="28"/>
        <v>0</v>
      </c>
      <c r="FH7" s="221">
        <f t="shared" si="28"/>
        <v>0</v>
      </c>
      <c r="FI7" s="221">
        <f t="shared" si="28"/>
        <v>0</v>
      </c>
      <c r="FJ7" s="221">
        <f t="shared" si="28"/>
        <v>0</v>
      </c>
      <c r="FK7" s="222">
        <f t="shared" si="28"/>
        <v>0</v>
      </c>
    </row>
    <row r="8" spans="1:167" s="6" customFormat="1">
      <c r="A8" s="186" t="s">
        <v>147</v>
      </c>
      <c r="B8" s="186" t="s">
        <v>148</v>
      </c>
      <c r="C8" s="187" t="s">
        <v>107</v>
      </c>
      <c r="D8" s="188">
        <f t="shared" ref="D8:D71" si="56">D7+1</f>
        <v>3</v>
      </c>
      <c r="E8" s="327" t="s">
        <v>327</v>
      </c>
      <c r="F8" s="154"/>
      <c r="G8" s="154"/>
      <c r="H8" s="154"/>
      <c r="I8" s="154"/>
      <c r="J8" s="154"/>
      <c r="K8" s="154"/>
      <c r="L8" s="481"/>
      <c r="M8" s="478"/>
      <c r="N8" s="327" t="s">
        <v>327</v>
      </c>
      <c r="O8" s="191"/>
      <c r="P8" s="191"/>
      <c r="Q8" s="191"/>
      <c r="R8" s="191"/>
      <c r="S8" s="189"/>
      <c r="T8" s="189"/>
      <c r="U8" s="193"/>
      <c r="V8" s="193"/>
      <c r="W8" s="326" t="s">
        <v>327</v>
      </c>
      <c r="X8" s="189">
        <v>0</v>
      </c>
      <c r="Y8" s="189">
        <v>0</v>
      </c>
      <c r="Z8" s="189">
        <v>0</v>
      </c>
      <c r="AA8" s="189">
        <v>204710</v>
      </c>
      <c r="AB8" s="189">
        <v>753584</v>
      </c>
      <c r="AC8" s="189"/>
      <c r="AD8" s="189">
        <v>753584</v>
      </c>
      <c r="AE8" s="189" t="s">
        <v>745</v>
      </c>
      <c r="AF8" s="193" t="s">
        <v>327</v>
      </c>
      <c r="AG8" s="326" t="s">
        <v>327</v>
      </c>
      <c r="AH8" s="189"/>
      <c r="AI8" s="189">
        <f t="shared" ref="AI8:AJ8" si="57">AA8</f>
        <v>204710</v>
      </c>
      <c r="AJ8" s="189">
        <f t="shared" si="57"/>
        <v>753584</v>
      </c>
      <c r="AK8" s="189">
        <f t="shared" ref="AK8:AK10" si="58">AJ8*1.009</f>
        <v>760366.25599999994</v>
      </c>
      <c r="AL8" s="189"/>
      <c r="AM8" s="189"/>
      <c r="AN8" s="189">
        <f t="shared" si="0"/>
        <v>760366.25599999994</v>
      </c>
      <c r="AO8" s="189" t="str">
        <f>AE8</f>
        <v>Estimate based on: Consumer Electronics Marketers of Canada. Consumer Electronics Market Trends and Forecast. March 2009. Electro-Federation Canada: Toronto, ON.; and Consumer Electronics Association. US Consumer Electronics Sales and Forecasts 2005-2010. July 2009. Consumer Electronics Association: Arlington, VA.</v>
      </c>
      <c r="AP8" s="193" t="str">
        <f>AF8</f>
        <v xml:space="preserve"> </v>
      </c>
      <c r="AQ8" s="326" t="s">
        <v>327</v>
      </c>
      <c r="AR8" s="194" t="s">
        <v>775</v>
      </c>
      <c r="AS8" s="511">
        <v>0</v>
      </c>
      <c r="AT8" s="193"/>
      <c r="AU8" s="193"/>
      <c r="AV8" s="326" t="s">
        <v>327</v>
      </c>
      <c r="AW8" s="195">
        <v>1</v>
      </c>
      <c r="AX8" s="196">
        <v>2</v>
      </c>
      <c r="AY8" s="193" t="s">
        <v>249</v>
      </c>
      <c r="AZ8" s="193" t="s">
        <v>268</v>
      </c>
      <c r="BA8" s="193"/>
      <c r="BB8" s="193"/>
      <c r="BC8" s="193"/>
      <c r="BD8" s="193"/>
      <c r="BE8" s="193"/>
      <c r="BF8" s="197"/>
      <c r="BG8" s="326" t="s">
        <v>327</v>
      </c>
      <c r="BH8" s="195">
        <v>0.15</v>
      </c>
      <c r="BI8" s="196">
        <v>2</v>
      </c>
      <c r="BJ8" s="193" t="s">
        <v>249</v>
      </c>
      <c r="BK8" s="193" t="s">
        <v>267</v>
      </c>
      <c r="BL8" s="193" t="s">
        <v>327</v>
      </c>
      <c r="BM8" s="193"/>
      <c r="BN8" s="193"/>
      <c r="BO8" s="193"/>
      <c r="BP8" s="193"/>
      <c r="BQ8" s="193"/>
      <c r="BR8" s="326" t="s">
        <v>327</v>
      </c>
      <c r="BS8" s="198">
        <v>1</v>
      </c>
      <c r="BT8" s="198">
        <v>0</v>
      </c>
      <c r="BU8" s="198">
        <v>1</v>
      </c>
      <c r="BV8" s="198">
        <v>0</v>
      </c>
      <c r="BW8" s="198">
        <v>0</v>
      </c>
      <c r="BX8" s="198">
        <v>0</v>
      </c>
      <c r="BY8" s="198">
        <v>0</v>
      </c>
      <c r="BZ8" s="198">
        <v>0</v>
      </c>
      <c r="CA8" s="198">
        <v>0</v>
      </c>
      <c r="CB8" s="198">
        <v>0</v>
      </c>
      <c r="CC8" s="198">
        <v>0</v>
      </c>
      <c r="CD8" s="199">
        <v>0</v>
      </c>
      <c r="CE8" s="193" t="s">
        <v>431</v>
      </c>
      <c r="CF8" s="326" t="s">
        <v>327</v>
      </c>
      <c r="CG8" s="379">
        <v>0</v>
      </c>
      <c r="CH8" s="380">
        <v>0</v>
      </c>
      <c r="CI8" s="380">
        <v>1</v>
      </c>
      <c r="CJ8" s="380">
        <v>0</v>
      </c>
      <c r="CK8" s="380">
        <v>0</v>
      </c>
      <c r="CL8" s="380">
        <v>0</v>
      </c>
      <c r="CM8" s="380">
        <v>0</v>
      </c>
      <c r="CN8" s="380">
        <v>0</v>
      </c>
      <c r="CO8" s="380">
        <v>0</v>
      </c>
      <c r="CP8" s="386">
        <v>0</v>
      </c>
      <c r="CQ8" s="193" t="s">
        <v>431</v>
      </c>
      <c r="CR8" s="326" t="s">
        <v>327</v>
      </c>
      <c r="CS8" s="200">
        <f t="shared" si="1"/>
        <v>1520732.5119999999</v>
      </c>
      <c r="CT8" s="154">
        <f t="shared" si="2"/>
        <v>0</v>
      </c>
      <c r="CU8" s="154">
        <f t="shared" si="3"/>
        <v>1520732.5119999999</v>
      </c>
      <c r="CV8" s="154">
        <f t="shared" si="4"/>
        <v>0</v>
      </c>
      <c r="CW8" s="154">
        <f t="shared" si="5"/>
        <v>0</v>
      </c>
      <c r="CX8" s="154">
        <f t="shared" si="6"/>
        <v>0</v>
      </c>
      <c r="CY8" s="154">
        <f t="shared" si="7"/>
        <v>0</v>
      </c>
      <c r="CZ8" s="154">
        <f t="shared" si="8"/>
        <v>0</v>
      </c>
      <c r="DA8" s="154">
        <f t="shared" si="9"/>
        <v>0</v>
      </c>
      <c r="DB8" s="154">
        <f t="shared" si="10"/>
        <v>0</v>
      </c>
      <c r="DC8" s="154">
        <f t="shared" si="11"/>
        <v>0</v>
      </c>
      <c r="DD8" s="154">
        <f t="shared" si="12"/>
        <v>0</v>
      </c>
      <c r="DE8" s="326"/>
      <c r="DF8" s="201">
        <f t="shared" si="13"/>
        <v>0</v>
      </c>
      <c r="DG8" s="202">
        <f t="shared" si="14"/>
        <v>0</v>
      </c>
      <c r="DH8" s="202">
        <f t="shared" si="15"/>
        <v>228109.87679999997</v>
      </c>
      <c r="DI8" s="202">
        <f t="shared" si="16"/>
        <v>0</v>
      </c>
      <c r="DJ8" s="202">
        <f t="shared" si="17"/>
        <v>0</v>
      </c>
      <c r="DK8" s="202">
        <f t="shared" si="18"/>
        <v>0</v>
      </c>
      <c r="DL8" s="202">
        <f t="shared" si="19"/>
        <v>0</v>
      </c>
      <c r="DM8" s="202">
        <f t="shared" si="20"/>
        <v>0</v>
      </c>
      <c r="DN8" s="202">
        <f t="shared" si="21"/>
        <v>0</v>
      </c>
      <c r="DO8" s="203">
        <f t="shared" si="22"/>
        <v>0</v>
      </c>
      <c r="DP8" s="326" t="s">
        <v>327</v>
      </c>
      <c r="DQ8" s="200">
        <f t="shared" si="30"/>
        <v>1520732.5119999999</v>
      </c>
      <c r="DR8" s="154">
        <f t="shared" si="31"/>
        <v>0</v>
      </c>
      <c r="DS8" s="154">
        <f t="shared" si="32"/>
        <v>1520732.5119999999</v>
      </c>
      <c r="DT8" s="154">
        <f t="shared" si="33"/>
        <v>0</v>
      </c>
      <c r="DU8" s="154">
        <f t="shared" si="34"/>
        <v>0</v>
      </c>
      <c r="DV8" s="154">
        <f t="shared" si="35"/>
        <v>0</v>
      </c>
      <c r="DW8" s="154">
        <f t="shared" si="36"/>
        <v>0</v>
      </c>
      <c r="DX8" s="154">
        <f t="shared" si="37"/>
        <v>0</v>
      </c>
      <c r="DY8" s="154">
        <f t="shared" si="38"/>
        <v>0</v>
      </c>
      <c r="DZ8" s="154">
        <f t="shared" si="39"/>
        <v>0</v>
      </c>
      <c r="EA8" s="154">
        <f t="shared" si="40"/>
        <v>0</v>
      </c>
      <c r="EB8" s="154">
        <f t="shared" si="41"/>
        <v>0</v>
      </c>
      <c r="EC8" s="326"/>
      <c r="ED8" s="201">
        <f t="shared" si="42"/>
        <v>0</v>
      </c>
      <c r="EE8" s="202">
        <f t="shared" si="25"/>
        <v>0</v>
      </c>
      <c r="EF8" s="202">
        <f t="shared" si="25"/>
        <v>228109.87679999997</v>
      </c>
      <c r="EG8" s="202">
        <f t="shared" si="25"/>
        <v>0</v>
      </c>
      <c r="EH8" s="202">
        <f t="shared" si="25"/>
        <v>0</v>
      </c>
      <c r="EI8" s="202">
        <f t="shared" si="25"/>
        <v>0</v>
      </c>
      <c r="EJ8" s="202">
        <f t="shared" si="25"/>
        <v>0</v>
      </c>
      <c r="EK8" s="202">
        <f t="shared" si="25"/>
        <v>0</v>
      </c>
      <c r="EL8" s="202">
        <f t="shared" si="25"/>
        <v>0</v>
      </c>
      <c r="EM8" s="203">
        <f t="shared" si="25"/>
        <v>0</v>
      </c>
      <c r="EN8" s="326" t="s">
        <v>327</v>
      </c>
      <c r="EO8" s="200">
        <f t="shared" si="43"/>
        <v>0</v>
      </c>
      <c r="EP8" s="154">
        <f t="shared" si="44"/>
        <v>0</v>
      </c>
      <c r="EQ8" s="154">
        <f t="shared" si="45"/>
        <v>0</v>
      </c>
      <c r="ER8" s="154">
        <f t="shared" si="46"/>
        <v>0</v>
      </c>
      <c r="ES8" s="154">
        <f t="shared" si="47"/>
        <v>0</v>
      </c>
      <c r="ET8" s="154">
        <f t="shared" si="48"/>
        <v>0</v>
      </c>
      <c r="EU8" s="154">
        <f t="shared" si="49"/>
        <v>0</v>
      </c>
      <c r="EV8" s="154">
        <f t="shared" si="50"/>
        <v>0</v>
      </c>
      <c r="EW8" s="154">
        <f t="shared" si="51"/>
        <v>0</v>
      </c>
      <c r="EX8" s="154">
        <f t="shared" si="52"/>
        <v>0</v>
      </c>
      <c r="EY8" s="154">
        <f t="shared" si="53"/>
        <v>0</v>
      </c>
      <c r="EZ8" s="154">
        <f t="shared" si="54"/>
        <v>0</v>
      </c>
      <c r="FA8" s="326"/>
      <c r="FB8" s="201">
        <f t="shared" si="55"/>
        <v>0</v>
      </c>
      <c r="FC8" s="202">
        <f t="shared" si="28"/>
        <v>0</v>
      </c>
      <c r="FD8" s="202">
        <f t="shared" si="28"/>
        <v>0</v>
      </c>
      <c r="FE8" s="202">
        <f t="shared" si="28"/>
        <v>0</v>
      </c>
      <c r="FF8" s="202">
        <f t="shared" si="28"/>
        <v>0</v>
      </c>
      <c r="FG8" s="202">
        <f t="shared" si="28"/>
        <v>0</v>
      </c>
      <c r="FH8" s="202">
        <f t="shared" si="28"/>
        <v>0</v>
      </c>
      <c r="FI8" s="202">
        <f t="shared" si="28"/>
        <v>0</v>
      </c>
      <c r="FJ8" s="202">
        <f t="shared" si="28"/>
        <v>0</v>
      </c>
      <c r="FK8" s="203">
        <f t="shared" si="28"/>
        <v>0</v>
      </c>
    </row>
    <row r="9" spans="1:167" s="6" customFormat="1">
      <c r="A9" s="204" t="s">
        <v>147</v>
      </c>
      <c r="B9" s="204" t="s">
        <v>149</v>
      </c>
      <c r="C9" s="205" t="s">
        <v>108</v>
      </c>
      <c r="D9" s="206">
        <f t="shared" si="56"/>
        <v>4</v>
      </c>
      <c r="E9" s="327" t="s">
        <v>327</v>
      </c>
      <c r="F9" s="219">
        <v>1360000</v>
      </c>
      <c r="G9" s="219">
        <v>1450000</v>
      </c>
      <c r="H9" s="219">
        <v>1520000</v>
      </c>
      <c r="I9" s="219"/>
      <c r="J9" s="219"/>
      <c r="K9" s="219"/>
      <c r="L9" s="479" t="s">
        <v>870</v>
      </c>
      <c r="M9" s="480" t="s">
        <v>800</v>
      </c>
      <c r="N9" s="327" t="s">
        <v>327</v>
      </c>
      <c r="O9" s="209"/>
      <c r="P9" s="209"/>
      <c r="Q9" s="209"/>
      <c r="R9" s="209"/>
      <c r="S9" s="207"/>
      <c r="T9" s="207"/>
      <c r="U9" s="211"/>
      <c r="V9" s="211"/>
      <c r="W9" s="326" t="s">
        <v>327</v>
      </c>
      <c r="X9" s="207">
        <v>0</v>
      </c>
      <c r="Y9" s="207">
        <v>0</v>
      </c>
      <c r="Z9" s="207">
        <v>0</v>
      </c>
      <c r="AA9" s="207">
        <v>0</v>
      </c>
      <c r="AB9" s="207">
        <v>12466</v>
      </c>
      <c r="AC9" s="207"/>
      <c r="AD9" s="207">
        <v>12466</v>
      </c>
      <c r="AE9" s="207" t="s">
        <v>736</v>
      </c>
      <c r="AF9" s="211" t="s">
        <v>327</v>
      </c>
      <c r="AG9" s="326" t="s">
        <v>327</v>
      </c>
      <c r="AH9" s="207">
        <f t="shared" ref="AH9:AJ10" si="59">F9</f>
        <v>1360000</v>
      </c>
      <c r="AI9" s="207">
        <f t="shared" si="59"/>
        <v>1450000</v>
      </c>
      <c r="AJ9" s="207">
        <f t="shared" si="59"/>
        <v>1520000</v>
      </c>
      <c r="AK9" s="207">
        <f t="shared" si="58"/>
        <v>1533679.9999999998</v>
      </c>
      <c r="AL9" s="207"/>
      <c r="AM9" s="207"/>
      <c r="AN9" s="207">
        <f t="shared" si="0"/>
        <v>1533679.9999999998</v>
      </c>
      <c r="AO9" s="207" t="str">
        <f t="shared" si="29"/>
        <v>NAMM 2009</v>
      </c>
      <c r="AP9" s="211" t="str">
        <f t="shared" si="29"/>
        <v>Shipments for multi-effects floor processors and stomp boxes</v>
      </c>
      <c r="AQ9" s="326" t="s">
        <v>327</v>
      </c>
      <c r="AR9" s="216" t="s">
        <v>775</v>
      </c>
      <c r="AS9" s="512">
        <v>0</v>
      </c>
      <c r="AT9" s="211"/>
      <c r="AU9" s="211"/>
      <c r="AV9" s="326" t="s">
        <v>327</v>
      </c>
      <c r="AW9" s="213">
        <v>1</v>
      </c>
      <c r="AX9" s="214">
        <v>1</v>
      </c>
      <c r="AY9" s="210" t="s">
        <v>249</v>
      </c>
      <c r="AZ9" s="211"/>
      <c r="BA9" s="211">
        <v>9</v>
      </c>
      <c r="BB9" s="211">
        <v>9</v>
      </c>
      <c r="BC9" s="211" t="s">
        <v>318</v>
      </c>
      <c r="BD9" s="211">
        <v>9</v>
      </c>
      <c r="BE9" s="211">
        <v>50</v>
      </c>
      <c r="BF9" s="215" t="s">
        <v>395</v>
      </c>
      <c r="BG9" s="326" t="s">
        <v>327</v>
      </c>
      <c r="BH9" s="213">
        <v>0</v>
      </c>
      <c r="BI9" s="214">
        <v>0</v>
      </c>
      <c r="BJ9" s="211" t="s">
        <v>400</v>
      </c>
      <c r="BK9" s="211"/>
      <c r="BL9" s="211" t="s">
        <v>283</v>
      </c>
      <c r="BM9" s="211" t="s">
        <v>283</v>
      </c>
      <c r="BN9" s="211" t="s">
        <v>283</v>
      </c>
      <c r="BO9" s="211"/>
      <c r="BP9" s="211"/>
      <c r="BQ9" s="211"/>
      <c r="BR9" s="326" t="s">
        <v>327</v>
      </c>
      <c r="BS9" s="216">
        <v>1</v>
      </c>
      <c r="BT9" s="216">
        <v>1</v>
      </c>
      <c r="BU9" s="216">
        <v>0</v>
      </c>
      <c r="BV9" s="216">
        <v>0</v>
      </c>
      <c r="BW9" s="216">
        <v>0</v>
      </c>
      <c r="BX9" s="216">
        <v>0</v>
      </c>
      <c r="BY9" s="216">
        <v>0</v>
      </c>
      <c r="BZ9" s="216">
        <v>0</v>
      </c>
      <c r="CA9" s="216">
        <v>0</v>
      </c>
      <c r="CB9" s="216">
        <v>0</v>
      </c>
      <c r="CC9" s="216">
        <v>0</v>
      </c>
      <c r="CD9" s="217">
        <v>0</v>
      </c>
      <c r="CE9" s="211" t="s">
        <v>432</v>
      </c>
      <c r="CF9" s="326" t="s">
        <v>327</v>
      </c>
      <c r="CG9" s="377">
        <v>0</v>
      </c>
      <c r="CH9" s="378">
        <v>0</v>
      </c>
      <c r="CI9" s="378">
        <v>0</v>
      </c>
      <c r="CJ9" s="378">
        <v>0</v>
      </c>
      <c r="CK9" s="378">
        <v>0</v>
      </c>
      <c r="CL9" s="378">
        <v>0</v>
      </c>
      <c r="CM9" s="378">
        <v>0</v>
      </c>
      <c r="CN9" s="378">
        <v>0</v>
      </c>
      <c r="CO9" s="378">
        <v>0</v>
      </c>
      <c r="CP9" s="385">
        <v>0</v>
      </c>
      <c r="CQ9" s="211" t="s">
        <v>432</v>
      </c>
      <c r="CR9" s="326" t="s">
        <v>327</v>
      </c>
      <c r="CS9" s="218">
        <f t="shared" si="1"/>
        <v>1533679.9999999998</v>
      </c>
      <c r="CT9" s="219">
        <f t="shared" si="2"/>
        <v>1533679.9999999998</v>
      </c>
      <c r="CU9" s="219">
        <f t="shared" si="3"/>
        <v>0</v>
      </c>
      <c r="CV9" s="219">
        <f t="shared" si="4"/>
        <v>0</v>
      </c>
      <c r="CW9" s="219">
        <f t="shared" si="5"/>
        <v>0</v>
      </c>
      <c r="CX9" s="219">
        <f t="shared" si="6"/>
        <v>0</v>
      </c>
      <c r="CY9" s="219">
        <f t="shared" si="7"/>
        <v>0</v>
      </c>
      <c r="CZ9" s="219">
        <f t="shared" si="8"/>
        <v>0</v>
      </c>
      <c r="DA9" s="219">
        <f t="shared" si="9"/>
        <v>0</v>
      </c>
      <c r="DB9" s="219">
        <f t="shared" si="10"/>
        <v>0</v>
      </c>
      <c r="DC9" s="219">
        <f t="shared" si="11"/>
        <v>0</v>
      </c>
      <c r="DD9" s="219">
        <f t="shared" si="12"/>
        <v>0</v>
      </c>
      <c r="DE9" s="326"/>
      <c r="DF9" s="220">
        <f t="shared" si="13"/>
        <v>0</v>
      </c>
      <c r="DG9" s="221">
        <f t="shared" si="14"/>
        <v>0</v>
      </c>
      <c r="DH9" s="221">
        <f t="shared" si="15"/>
        <v>0</v>
      </c>
      <c r="DI9" s="221">
        <f t="shared" si="16"/>
        <v>0</v>
      </c>
      <c r="DJ9" s="221">
        <f t="shared" si="17"/>
        <v>0</v>
      </c>
      <c r="DK9" s="221">
        <f t="shared" si="18"/>
        <v>0</v>
      </c>
      <c r="DL9" s="221">
        <f t="shared" si="19"/>
        <v>0</v>
      </c>
      <c r="DM9" s="221">
        <f t="shared" si="20"/>
        <v>0</v>
      </c>
      <c r="DN9" s="221">
        <f t="shared" si="21"/>
        <v>0</v>
      </c>
      <c r="DO9" s="222">
        <f t="shared" si="22"/>
        <v>0</v>
      </c>
      <c r="DP9" s="326" t="s">
        <v>327</v>
      </c>
      <c r="DQ9" s="218">
        <f t="shared" si="30"/>
        <v>1533679.9999999998</v>
      </c>
      <c r="DR9" s="219">
        <f t="shared" si="31"/>
        <v>1533679.9999999998</v>
      </c>
      <c r="DS9" s="219">
        <f t="shared" si="32"/>
        <v>0</v>
      </c>
      <c r="DT9" s="219">
        <f t="shared" si="33"/>
        <v>0</v>
      </c>
      <c r="DU9" s="219">
        <f t="shared" si="34"/>
        <v>0</v>
      </c>
      <c r="DV9" s="219">
        <f t="shared" si="35"/>
        <v>0</v>
      </c>
      <c r="DW9" s="219">
        <f t="shared" si="36"/>
        <v>0</v>
      </c>
      <c r="DX9" s="219">
        <f t="shared" si="37"/>
        <v>0</v>
      </c>
      <c r="DY9" s="219">
        <f t="shared" si="38"/>
        <v>0</v>
      </c>
      <c r="DZ9" s="219">
        <f t="shared" si="39"/>
        <v>0</v>
      </c>
      <c r="EA9" s="219">
        <f t="shared" si="40"/>
        <v>0</v>
      </c>
      <c r="EB9" s="219">
        <f t="shared" si="41"/>
        <v>0</v>
      </c>
      <c r="EC9" s="326"/>
      <c r="ED9" s="220">
        <f t="shared" si="42"/>
        <v>0</v>
      </c>
      <c r="EE9" s="221">
        <f t="shared" si="25"/>
        <v>0</v>
      </c>
      <c r="EF9" s="221">
        <f t="shared" si="25"/>
        <v>0</v>
      </c>
      <c r="EG9" s="221">
        <f t="shared" si="25"/>
        <v>0</v>
      </c>
      <c r="EH9" s="221">
        <f t="shared" si="25"/>
        <v>0</v>
      </c>
      <c r="EI9" s="221">
        <f t="shared" si="25"/>
        <v>0</v>
      </c>
      <c r="EJ9" s="221">
        <f t="shared" si="25"/>
        <v>0</v>
      </c>
      <c r="EK9" s="221">
        <f t="shared" si="25"/>
        <v>0</v>
      </c>
      <c r="EL9" s="221">
        <f t="shared" si="25"/>
        <v>0</v>
      </c>
      <c r="EM9" s="222">
        <f t="shared" si="25"/>
        <v>0</v>
      </c>
      <c r="EN9" s="326" t="s">
        <v>327</v>
      </c>
      <c r="EO9" s="218">
        <f t="shared" si="43"/>
        <v>0</v>
      </c>
      <c r="EP9" s="219">
        <f t="shared" si="44"/>
        <v>0</v>
      </c>
      <c r="EQ9" s="219">
        <f t="shared" si="45"/>
        <v>0</v>
      </c>
      <c r="ER9" s="219">
        <f t="shared" si="46"/>
        <v>0</v>
      </c>
      <c r="ES9" s="219">
        <f t="shared" si="47"/>
        <v>0</v>
      </c>
      <c r="ET9" s="219">
        <f t="shared" si="48"/>
        <v>0</v>
      </c>
      <c r="EU9" s="219">
        <f t="shared" si="49"/>
        <v>0</v>
      </c>
      <c r="EV9" s="219">
        <f t="shared" si="50"/>
        <v>0</v>
      </c>
      <c r="EW9" s="219">
        <f t="shared" si="51"/>
        <v>0</v>
      </c>
      <c r="EX9" s="219">
        <f t="shared" si="52"/>
        <v>0</v>
      </c>
      <c r="EY9" s="219">
        <f t="shared" si="53"/>
        <v>0</v>
      </c>
      <c r="EZ9" s="219">
        <f t="shared" si="54"/>
        <v>0</v>
      </c>
      <c r="FA9" s="326"/>
      <c r="FB9" s="220">
        <f t="shared" si="55"/>
        <v>0</v>
      </c>
      <c r="FC9" s="221">
        <f t="shared" si="28"/>
        <v>0</v>
      </c>
      <c r="FD9" s="221">
        <f t="shared" si="28"/>
        <v>0</v>
      </c>
      <c r="FE9" s="221">
        <f t="shared" si="28"/>
        <v>0</v>
      </c>
      <c r="FF9" s="221">
        <f t="shared" si="28"/>
        <v>0</v>
      </c>
      <c r="FG9" s="221">
        <f t="shared" si="28"/>
        <v>0</v>
      </c>
      <c r="FH9" s="221">
        <f t="shared" si="28"/>
        <v>0</v>
      </c>
      <c r="FI9" s="221">
        <f t="shared" si="28"/>
        <v>0</v>
      </c>
      <c r="FJ9" s="221">
        <f t="shared" si="28"/>
        <v>0</v>
      </c>
      <c r="FK9" s="222">
        <f t="shared" si="28"/>
        <v>0</v>
      </c>
    </row>
    <row r="10" spans="1:167" s="6" customFormat="1">
      <c r="A10" s="186" t="s">
        <v>147</v>
      </c>
      <c r="B10" s="186" t="s">
        <v>149</v>
      </c>
      <c r="C10" s="187" t="s">
        <v>109</v>
      </c>
      <c r="D10" s="188">
        <f t="shared" si="56"/>
        <v>5</v>
      </c>
      <c r="E10" s="327" t="s">
        <v>327</v>
      </c>
      <c r="F10" s="154">
        <v>1400000</v>
      </c>
      <c r="G10" s="154">
        <v>1190000</v>
      </c>
      <c r="H10" s="154">
        <v>1120000</v>
      </c>
      <c r="I10" s="154"/>
      <c r="J10" s="154"/>
      <c r="K10" s="154"/>
      <c r="L10" s="156" t="s">
        <v>870</v>
      </c>
      <c r="M10" s="478" t="s">
        <v>799</v>
      </c>
      <c r="N10" s="327" t="s">
        <v>327</v>
      </c>
      <c r="O10" s="191"/>
      <c r="P10" s="191"/>
      <c r="Q10" s="191"/>
      <c r="R10" s="191"/>
      <c r="S10" s="189"/>
      <c r="T10" s="189"/>
      <c r="U10" s="193"/>
      <c r="V10" s="193"/>
      <c r="W10" s="326" t="s">
        <v>327</v>
      </c>
      <c r="X10" s="189">
        <v>0</v>
      </c>
      <c r="Y10" s="189">
        <v>0</v>
      </c>
      <c r="Z10" s="189">
        <v>0</v>
      </c>
      <c r="AA10" s="189">
        <v>4190000</v>
      </c>
      <c r="AB10" s="189">
        <v>0</v>
      </c>
      <c r="AC10" s="189"/>
      <c r="AD10" s="189">
        <v>4190000</v>
      </c>
      <c r="AE10" s="189" t="s">
        <v>746</v>
      </c>
      <c r="AF10" s="255" t="s">
        <v>327</v>
      </c>
      <c r="AG10" s="326" t="s">
        <v>327</v>
      </c>
      <c r="AH10" s="189">
        <f t="shared" si="59"/>
        <v>1400000</v>
      </c>
      <c r="AI10" s="189">
        <f t="shared" si="59"/>
        <v>1190000</v>
      </c>
      <c r="AJ10" s="189">
        <f t="shared" si="59"/>
        <v>1120000</v>
      </c>
      <c r="AK10" s="189">
        <f t="shared" si="58"/>
        <v>1130080</v>
      </c>
      <c r="AL10" s="189"/>
      <c r="AM10" s="189"/>
      <c r="AN10" s="189">
        <f t="shared" si="0"/>
        <v>1130080</v>
      </c>
      <c r="AO10" s="189" t="str">
        <f t="shared" si="29"/>
        <v>NAMM 2009</v>
      </c>
      <c r="AP10" s="255" t="str">
        <f t="shared" si="29"/>
        <v>Shipments for total portable keyboards (over $199 and under $199).</v>
      </c>
      <c r="AQ10" s="326" t="s">
        <v>327</v>
      </c>
      <c r="AR10" s="194" t="s">
        <v>775</v>
      </c>
      <c r="AS10" s="511">
        <v>0</v>
      </c>
      <c r="AT10" s="193"/>
      <c r="AU10" s="193"/>
      <c r="AV10" s="326" t="s">
        <v>327</v>
      </c>
      <c r="AW10" s="195">
        <v>0.1</v>
      </c>
      <c r="AX10" s="196">
        <v>1</v>
      </c>
      <c r="AY10" s="192" t="s">
        <v>249</v>
      </c>
      <c r="AZ10" s="193"/>
      <c r="BA10" s="193">
        <v>9</v>
      </c>
      <c r="BB10" s="193">
        <f>BA10*0.85</f>
        <v>7.6499999999999995</v>
      </c>
      <c r="BC10" s="193" t="s">
        <v>454</v>
      </c>
      <c r="BD10" s="193"/>
      <c r="BE10" s="193"/>
      <c r="BF10" s="197"/>
      <c r="BG10" s="326" t="s">
        <v>327</v>
      </c>
      <c r="BH10" s="195">
        <v>0</v>
      </c>
      <c r="BI10" s="196">
        <v>0</v>
      </c>
      <c r="BJ10" s="193" t="s">
        <v>400</v>
      </c>
      <c r="BK10" s="193"/>
      <c r="BL10" s="193" t="s">
        <v>283</v>
      </c>
      <c r="BM10" s="193" t="s">
        <v>283</v>
      </c>
      <c r="BN10" s="193" t="s">
        <v>283</v>
      </c>
      <c r="BO10" s="193"/>
      <c r="BP10" s="193"/>
      <c r="BQ10" s="193"/>
      <c r="BR10" s="326" t="s">
        <v>327</v>
      </c>
      <c r="BS10" s="198">
        <v>1</v>
      </c>
      <c r="BT10" s="198">
        <v>1</v>
      </c>
      <c r="BU10" s="198">
        <v>0</v>
      </c>
      <c r="BV10" s="198">
        <v>0</v>
      </c>
      <c r="BW10" s="198">
        <v>0</v>
      </c>
      <c r="BX10" s="198">
        <v>0</v>
      </c>
      <c r="BY10" s="198">
        <v>0</v>
      </c>
      <c r="BZ10" s="198">
        <v>0</v>
      </c>
      <c r="CA10" s="198">
        <v>0</v>
      </c>
      <c r="CB10" s="198">
        <v>0</v>
      </c>
      <c r="CC10" s="198">
        <v>0</v>
      </c>
      <c r="CD10" s="199">
        <v>0</v>
      </c>
      <c r="CE10" s="193" t="s">
        <v>249</v>
      </c>
      <c r="CF10" s="326" t="s">
        <v>327</v>
      </c>
      <c r="CG10" s="379">
        <v>0</v>
      </c>
      <c r="CH10" s="380">
        <v>0</v>
      </c>
      <c r="CI10" s="380">
        <v>0</v>
      </c>
      <c r="CJ10" s="380">
        <v>0</v>
      </c>
      <c r="CK10" s="380">
        <v>0</v>
      </c>
      <c r="CL10" s="380">
        <v>0</v>
      </c>
      <c r="CM10" s="380">
        <v>0</v>
      </c>
      <c r="CN10" s="380">
        <v>0</v>
      </c>
      <c r="CO10" s="380">
        <v>0</v>
      </c>
      <c r="CP10" s="386">
        <v>0</v>
      </c>
      <c r="CQ10" s="193" t="s">
        <v>249</v>
      </c>
      <c r="CR10" s="326" t="s">
        <v>327</v>
      </c>
      <c r="CS10" s="200">
        <f t="shared" si="1"/>
        <v>113008</v>
      </c>
      <c r="CT10" s="154">
        <f t="shared" si="2"/>
        <v>113008</v>
      </c>
      <c r="CU10" s="154">
        <f t="shared" si="3"/>
        <v>0</v>
      </c>
      <c r="CV10" s="154">
        <f t="shared" si="4"/>
        <v>0</v>
      </c>
      <c r="CW10" s="154">
        <f t="shared" si="5"/>
        <v>0</v>
      </c>
      <c r="CX10" s="154">
        <f t="shared" si="6"/>
        <v>0</v>
      </c>
      <c r="CY10" s="154">
        <f t="shared" si="7"/>
        <v>0</v>
      </c>
      <c r="CZ10" s="154">
        <f t="shared" si="8"/>
        <v>0</v>
      </c>
      <c r="DA10" s="154">
        <f t="shared" si="9"/>
        <v>0</v>
      </c>
      <c r="DB10" s="154">
        <f t="shared" si="10"/>
        <v>0</v>
      </c>
      <c r="DC10" s="154">
        <f t="shared" si="11"/>
        <v>0</v>
      </c>
      <c r="DD10" s="154">
        <f t="shared" si="12"/>
        <v>0</v>
      </c>
      <c r="DE10" s="326"/>
      <c r="DF10" s="201">
        <f t="shared" si="13"/>
        <v>0</v>
      </c>
      <c r="DG10" s="202">
        <f t="shared" si="14"/>
        <v>0</v>
      </c>
      <c r="DH10" s="202">
        <f t="shared" si="15"/>
        <v>0</v>
      </c>
      <c r="DI10" s="202">
        <f t="shared" si="16"/>
        <v>0</v>
      </c>
      <c r="DJ10" s="202">
        <f t="shared" si="17"/>
        <v>0</v>
      </c>
      <c r="DK10" s="202">
        <f t="shared" si="18"/>
        <v>0</v>
      </c>
      <c r="DL10" s="202">
        <f t="shared" si="19"/>
        <v>0</v>
      </c>
      <c r="DM10" s="202">
        <f t="shared" si="20"/>
        <v>0</v>
      </c>
      <c r="DN10" s="202">
        <f t="shared" si="21"/>
        <v>0</v>
      </c>
      <c r="DO10" s="203">
        <f t="shared" si="22"/>
        <v>0</v>
      </c>
      <c r="DP10" s="326" t="s">
        <v>327</v>
      </c>
      <c r="DQ10" s="200">
        <f t="shared" si="30"/>
        <v>113008</v>
      </c>
      <c r="DR10" s="154">
        <f t="shared" si="31"/>
        <v>113008</v>
      </c>
      <c r="DS10" s="154">
        <f t="shared" si="32"/>
        <v>0</v>
      </c>
      <c r="DT10" s="154">
        <f t="shared" si="33"/>
        <v>0</v>
      </c>
      <c r="DU10" s="154">
        <f t="shared" si="34"/>
        <v>0</v>
      </c>
      <c r="DV10" s="154">
        <f t="shared" si="35"/>
        <v>0</v>
      </c>
      <c r="DW10" s="154">
        <f t="shared" si="36"/>
        <v>0</v>
      </c>
      <c r="DX10" s="154">
        <f t="shared" si="37"/>
        <v>0</v>
      </c>
      <c r="DY10" s="154">
        <f t="shared" si="38"/>
        <v>0</v>
      </c>
      <c r="DZ10" s="154">
        <f t="shared" si="39"/>
        <v>0</v>
      </c>
      <c r="EA10" s="154">
        <f t="shared" si="40"/>
        <v>0</v>
      </c>
      <c r="EB10" s="154">
        <f t="shared" si="41"/>
        <v>0</v>
      </c>
      <c r="EC10" s="326"/>
      <c r="ED10" s="201">
        <f t="shared" si="42"/>
        <v>0</v>
      </c>
      <c r="EE10" s="202">
        <f t="shared" si="25"/>
        <v>0</v>
      </c>
      <c r="EF10" s="202">
        <f t="shared" si="25"/>
        <v>0</v>
      </c>
      <c r="EG10" s="202">
        <f t="shared" si="25"/>
        <v>0</v>
      </c>
      <c r="EH10" s="202">
        <f t="shared" si="25"/>
        <v>0</v>
      </c>
      <c r="EI10" s="202">
        <f t="shared" si="25"/>
        <v>0</v>
      </c>
      <c r="EJ10" s="202">
        <f t="shared" si="25"/>
        <v>0</v>
      </c>
      <c r="EK10" s="202">
        <f t="shared" si="25"/>
        <v>0</v>
      </c>
      <c r="EL10" s="202">
        <f t="shared" si="25"/>
        <v>0</v>
      </c>
      <c r="EM10" s="203">
        <f t="shared" si="25"/>
        <v>0</v>
      </c>
      <c r="EN10" s="326" t="s">
        <v>327</v>
      </c>
      <c r="EO10" s="200">
        <f t="shared" si="43"/>
        <v>0</v>
      </c>
      <c r="EP10" s="154">
        <f t="shared" si="44"/>
        <v>0</v>
      </c>
      <c r="EQ10" s="154">
        <f t="shared" si="45"/>
        <v>0</v>
      </c>
      <c r="ER10" s="154">
        <f t="shared" si="46"/>
        <v>0</v>
      </c>
      <c r="ES10" s="154">
        <f t="shared" si="47"/>
        <v>0</v>
      </c>
      <c r="ET10" s="154">
        <f t="shared" si="48"/>
        <v>0</v>
      </c>
      <c r="EU10" s="154">
        <f t="shared" si="49"/>
        <v>0</v>
      </c>
      <c r="EV10" s="154">
        <f t="shared" si="50"/>
        <v>0</v>
      </c>
      <c r="EW10" s="154">
        <f t="shared" si="51"/>
        <v>0</v>
      </c>
      <c r="EX10" s="154">
        <f t="shared" si="52"/>
        <v>0</v>
      </c>
      <c r="EY10" s="154">
        <f t="shared" si="53"/>
        <v>0</v>
      </c>
      <c r="EZ10" s="154">
        <f t="shared" si="54"/>
        <v>0</v>
      </c>
      <c r="FA10" s="326"/>
      <c r="FB10" s="201">
        <f t="shared" si="55"/>
        <v>0</v>
      </c>
      <c r="FC10" s="202">
        <f t="shared" si="28"/>
        <v>0</v>
      </c>
      <c r="FD10" s="202">
        <f t="shared" si="28"/>
        <v>0</v>
      </c>
      <c r="FE10" s="202">
        <f t="shared" si="28"/>
        <v>0</v>
      </c>
      <c r="FF10" s="202">
        <f t="shared" si="28"/>
        <v>0</v>
      </c>
      <c r="FG10" s="202">
        <f t="shared" si="28"/>
        <v>0</v>
      </c>
      <c r="FH10" s="202">
        <f t="shared" si="28"/>
        <v>0</v>
      </c>
      <c r="FI10" s="202">
        <f t="shared" si="28"/>
        <v>0</v>
      </c>
      <c r="FJ10" s="202">
        <f t="shared" si="28"/>
        <v>0</v>
      </c>
      <c r="FK10" s="203">
        <f t="shared" si="28"/>
        <v>0</v>
      </c>
    </row>
    <row r="11" spans="1:167" s="6" customFormat="1">
      <c r="A11" s="204" t="s">
        <v>147</v>
      </c>
      <c r="B11" s="204" t="s">
        <v>150</v>
      </c>
      <c r="C11" s="205" t="s">
        <v>99</v>
      </c>
      <c r="D11" s="206">
        <f t="shared" si="56"/>
        <v>6</v>
      </c>
      <c r="E11" s="327" t="s">
        <v>327</v>
      </c>
      <c r="F11" s="219">
        <v>4396000</v>
      </c>
      <c r="G11" s="219">
        <v>6110000</v>
      </c>
      <c r="H11" s="219">
        <v>8249000</v>
      </c>
      <c r="I11" s="219">
        <v>9239000</v>
      </c>
      <c r="J11" s="219">
        <v>9701000</v>
      </c>
      <c r="K11" s="219">
        <v>10032000</v>
      </c>
      <c r="L11" s="479" t="s">
        <v>895</v>
      </c>
      <c r="M11" s="480" t="s">
        <v>834</v>
      </c>
      <c r="N11" s="327" t="s">
        <v>327</v>
      </c>
      <c r="O11" s="209"/>
      <c r="P11" s="209"/>
      <c r="Q11" s="209"/>
      <c r="R11" s="209"/>
      <c r="S11" s="207"/>
      <c r="T11" s="207"/>
      <c r="U11" s="211"/>
      <c r="V11" s="211"/>
      <c r="W11" s="326" t="s">
        <v>327</v>
      </c>
      <c r="X11" s="207">
        <v>0</v>
      </c>
      <c r="Y11" s="207">
        <v>0</v>
      </c>
      <c r="Z11" s="207">
        <v>4396000</v>
      </c>
      <c r="AA11" s="207">
        <v>6110000</v>
      </c>
      <c r="AB11" s="207">
        <v>8249000</v>
      </c>
      <c r="AC11" s="207">
        <v>10543000</v>
      </c>
      <c r="AD11" s="207">
        <v>8249000</v>
      </c>
      <c r="AE11" s="207" t="s">
        <v>638</v>
      </c>
      <c r="AF11" s="211" t="s">
        <v>327</v>
      </c>
      <c r="AG11" s="326" t="s">
        <v>327</v>
      </c>
      <c r="AH11" s="207">
        <f t="shared" ref="AH11:AM12" si="60">F11</f>
        <v>4396000</v>
      </c>
      <c r="AI11" s="207">
        <f t="shared" si="60"/>
        <v>6110000</v>
      </c>
      <c r="AJ11" s="207">
        <f t="shared" si="60"/>
        <v>8249000</v>
      </c>
      <c r="AK11" s="207">
        <f t="shared" si="60"/>
        <v>9239000</v>
      </c>
      <c r="AL11" s="207">
        <f t="shared" si="60"/>
        <v>9701000</v>
      </c>
      <c r="AM11" s="207">
        <f t="shared" si="60"/>
        <v>10032000</v>
      </c>
      <c r="AN11" s="207">
        <f t="shared" si="0"/>
        <v>9239000</v>
      </c>
      <c r="AO11" s="207" t="str">
        <f t="shared" ref="AO11:AO12" si="61">L11</f>
        <v>CEA 2010</v>
      </c>
      <c r="AP11" s="211" t="str">
        <f t="shared" ref="AP11:AP12" si="62">M11</f>
        <v>"May include MP3 speaker docks with FM tuners"</v>
      </c>
      <c r="AQ11" s="326" t="s">
        <v>327</v>
      </c>
      <c r="AR11" s="216" t="s">
        <v>775</v>
      </c>
      <c r="AS11" s="512">
        <v>0</v>
      </c>
      <c r="AT11" s="211"/>
      <c r="AU11" s="211"/>
      <c r="AV11" s="326" t="s">
        <v>327</v>
      </c>
      <c r="AW11" s="213">
        <v>0.85</v>
      </c>
      <c r="AX11" s="214">
        <v>1</v>
      </c>
      <c r="AY11" s="211" t="s">
        <v>274</v>
      </c>
      <c r="AZ11" s="211"/>
      <c r="BA11" s="211">
        <v>12</v>
      </c>
      <c r="BB11" s="211">
        <v>15</v>
      </c>
      <c r="BC11" s="211" t="s">
        <v>272</v>
      </c>
      <c r="BD11" s="211"/>
      <c r="BE11" s="211"/>
      <c r="BF11" s="215"/>
      <c r="BG11" s="326" t="s">
        <v>327</v>
      </c>
      <c r="BH11" s="213">
        <v>0.15</v>
      </c>
      <c r="BI11" s="214">
        <v>1</v>
      </c>
      <c r="BJ11" s="211" t="s">
        <v>269</v>
      </c>
      <c r="BK11" s="211" t="s">
        <v>270</v>
      </c>
      <c r="BL11" s="211">
        <v>3.7</v>
      </c>
      <c r="BM11" s="211">
        <v>7.9550000000000001</v>
      </c>
      <c r="BN11" s="211" t="s">
        <v>319</v>
      </c>
      <c r="BO11" s="211"/>
      <c r="BP11" s="211"/>
      <c r="BQ11" s="211"/>
      <c r="BR11" s="326" t="s">
        <v>327</v>
      </c>
      <c r="BS11" s="216">
        <v>1</v>
      </c>
      <c r="BT11" s="216">
        <v>0</v>
      </c>
      <c r="BU11" s="216">
        <v>1</v>
      </c>
      <c r="BV11" s="216">
        <v>0</v>
      </c>
      <c r="BW11" s="216">
        <v>0</v>
      </c>
      <c r="BX11" s="216">
        <v>0</v>
      </c>
      <c r="BY11" s="216">
        <v>0</v>
      </c>
      <c r="BZ11" s="216">
        <v>0</v>
      </c>
      <c r="CA11" s="216">
        <v>0</v>
      </c>
      <c r="CB11" s="216">
        <v>0</v>
      </c>
      <c r="CC11" s="216">
        <v>0</v>
      </c>
      <c r="CD11" s="217">
        <v>0</v>
      </c>
      <c r="CE11" s="211" t="s">
        <v>433</v>
      </c>
      <c r="CF11" s="326" t="s">
        <v>327</v>
      </c>
      <c r="CG11" s="377">
        <v>0</v>
      </c>
      <c r="CH11" s="378">
        <v>1</v>
      </c>
      <c r="CI11" s="378">
        <v>0</v>
      </c>
      <c r="CJ11" s="378">
        <v>0</v>
      </c>
      <c r="CK11" s="378">
        <v>0</v>
      </c>
      <c r="CL11" s="378">
        <v>0</v>
      </c>
      <c r="CM11" s="378">
        <v>0</v>
      </c>
      <c r="CN11" s="378">
        <v>0</v>
      </c>
      <c r="CO11" s="378">
        <v>0</v>
      </c>
      <c r="CP11" s="385">
        <v>0</v>
      </c>
      <c r="CQ11" s="211" t="s">
        <v>433</v>
      </c>
      <c r="CR11" s="326" t="s">
        <v>327</v>
      </c>
      <c r="CS11" s="218">
        <f t="shared" si="1"/>
        <v>7853150</v>
      </c>
      <c r="CT11" s="219">
        <f t="shared" si="2"/>
        <v>0</v>
      </c>
      <c r="CU11" s="219">
        <f t="shared" si="3"/>
        <v>7853150</v>
      </c>
      <c r="CV11" s="219">
        <f t="shared" si="4"/>
        <v>0</v>
      </c>
      <c r="CW11" s="219">
        <f t="shared" si="5"/>
        <v>0</v>
      </c>
      <c r="CX11" s="219">
        <f t="shared" si="6"/>
        <v>0</v>
      </c>
      <c r="CY11" s="219">
        <f t="shared" si="7"/>
        <v>0</v>
      </c>
      <c r="CZ11" s="219">
        <f t="shared" si="8"/>
        <v>0</v>
      </c>
      <c r="DA11" s="219">
        <f t="shared" si="9"/>
        <v>0</v>
      </c>
      <c r="DB11" s="219">
        <f t="shared" si="10"/>
        <v>0</v>
      </c>
      <c r="DC11" s="219">
        <f t="shared" si="11"/>
        <v>0</v>
      </c>
      <c r="DD11" s="219">
        <f t="shared" si="12"/>
        <v>0</v>
      </c>
      <c r="DE11" s="326"/>
      <c r="DF11" s="220">
        <f t="shared" si="13"/>
        <v>0</v>
      </c>
      <c r="DG11" s="221">
        <f t="shared" si="14"/>
        <v>1385850</v>
      </c>
      <c r="DH11" s="221">
        <f t="shared" si="15"/>
        <v>0</v>
      </c>
      <c r="DI11" s="221">
        <f t="shared" si="16"/>
        <v>0</v>
      </c>
      <c r="DJ11" s="221">
        <f t="shared" si="17"/>
        <v>0</v>
      </c>
      <c r="DK11" s="221">
        <f t="shared" si="18"/>
        <v>0</v>
      </c>
      <c r="DL11" s="221">
        <f t="shared" si="19"/>
        <v>0</v>
      </c>
      <c r="DM11" s="221">
        <f t="shared" si="20"/>
        <v>0</v>
      </c>
      <c r="DN11" s="221">
        <f t="shared" si="21"/>
        <v>0</v>
      </c>
      <c r="DO11" s="222">
        <f t="shared" si="22"/>
        <v>0</v>
      </c>
      <c r="DP11" s="326" t="s">
        <v>327</v>
      </c>
      <c r="DQ11" s="218">
        <f t="shared" si="30"/>
        <v>7853150</v>
      </c>
      <c r="DR11" s="219">
        <f t="shared" si="31"/>
        <v>0</v>
      </c>
      <c r="DS11" s="219">
        <f t="shared" si="32"/>
        <v>7853150</v>
      </c>
      <c r="DT11" s="219">
        <f t="shared" si="33"/>
        <v>0</v>
      </c>
      <c r="DU11" s="219">
        <f t="shared" si="34"/>
        <v>0</v>
      </c>
      <c r="DV11" s="219">
        <f t="shared" si="35"/>
        <v>0</v>
      </c>
      <c r="DW11" s="219">
        <f t="shared" si="36"/>
        <v>0</v>
      </c>
      <c r="DX11" s="219">
        <f t="shared" si="37"/>
        <v>0</v>
      </c>
      <c r="DY11" s="219">
        <f t="shared" si="38"/>
        <v>0</v>
      </c>
      <c r="DZ11" s="219">
        <f t="shared" si="39"/>
        <v>0</v>
      </c>
      <c r="EA11" s="219">
        <f t="shared" si="40"/>
        <v>0</v>
      </c>
      <c r="EB11" s="219">
        <f t="shared" si="41"/>
        <v>0</v>
      </c>
      <c r="EC11" s="326"/>
      <c r="ED11" s="220">
        <f t="shared" si="42"/>
        <v>0</v>
      </c>
      <c r="EE11" s="221">
        <f t="shared" si="25"/>
        <v>1385850</v>
      </c>
      <c r="EF11" s="221">
        <f t="shared" si="25"/>
        <v>0</v>
      </c>
      <c r="EG11" s="221">
        <f t="shared" si="25"/>
        <v>0</v>
      </c>
      <c r="EH11" s="221">
        <f t="shared" si="25"/>
        <v>0</v>
      </c>
      <c r="EI11" s="221">
        <f t="shared" si="25"/>
        <v>0</v>
      </c>
      <c r="EJ11" s="221">
        <f t="shared" si="25"/>
        <v>0</v>
      </c>
      <c r="EK11" s="221">
        <f t="shared" si="25"/>
        <v>0</v>
      </c>
      <c r="EL11" s="221">
        <f t="shared" si="25"/>
        <v>0</v>
      </c>
      <c r="EM11" s="222">
        <f t="shared" si="25"/>
        <v>0</v>
      </c>
      <c r="EN11" s="326" t="s">
        <v>327</v>
      </c>
      <c r="EO11" s="218">
        <f t="shared" si="43"/>
        <v>0</v>
      </c>
      <c r="EP11" s="219">
        <f t="shared" si="44"/>
        <v>0</v>
      </c>
      <c r="EQ11" s="219">
        <f t="shared" si="45"/>
        <v>0</v>
      </c>
      <c r="ER11" s="219">
        <f t="shared" si="46"/>
        <v>0</v>
      </c>
      <c r="ES11" s="219">
        <f t="shared" si="47"/>
        <v>0</v>
      </c>
      <c r="ET11" s="219">
        <f t="shared" si="48"/>
        <v>0</v>
      </c>
      <c r="EU11" s="219">
        <f t="shared" si="49"/>
        <v>0</v>
      </c>
      <c r="EV11" s="219">
        <f t="shared" si="50"/>
        <v>0</v>
      </c>
      <c r="EW11" s="219">
        <f t="shared" si="51"/>
        <v>0</v>
      </c>
      <c r="EX11" s="219">
        <f t="shared" si="52"/>
        <v>0</v>
      </c>
      <c r="EY11" s="219">
        <f t="shared" si="53"/>
        <v>0</v>
      </c>
      <c r="EZ11" s="219">
        <f t="shared" si="54"/>
        <v>0</v>
      </c>
      <c r="FA11" s="326"/>
      <c r="FB11" s="220">
        <f t="shared" si="55"/>
        <v>0</v>
      </c>
      <c r="FC11" s="221">
        <f t="shared" si="28"/>
        <v>0</v>
      </c>
      <c r="FD11" s="221">
        <f t="shared" si="28"/>
        <v>0</v>
      </c>
      <c r="FE11" s="221">
        <f t="shared" si="28"/>
        <v>0</v>
      </c>
      <c r="FF11" s="221">
        <f t="shared" si="28"/>
        <v>0</v>
      </c>
      <c r="FG11" s="221">
        <f t="shared" si="28"/>
        <v>0</v>
      </c>
      <c r="FH11" s="221">
        <f t="shared" si="28"/>
        <v>0</v>
      </c>
      <c r="FI11" s="221">
        <f t="shared" si="28"/>
        <v>0</v>
      </c>
      <c r="FJ11" s="221">
        <f t="shared" si="28"/>
        <v>0</v>
      </c>
      <c r="FK11" s="222">
        <f t="shared" si="28"/>
        <v>0</v>
      </c>
    </row>
    <row r="12" spans="1:167" s="6" customFormat="1">
      <c r="A12" s="186" t="s">
        <v>147</v>
      </c>
      <c r="B12" s="186" t="s">
        <v>150</v>
      </c>
      <c r="C12" s="187" t="s">
        <v>222</v>
      </c>
      <c r="D12" s="188">
        <f t="shared" si="56"/>
        <v>7</v>
      </c>
      <c r="E12" s="327" t="s">
        <v>327</v>
      </c>
      <c r="F12" s="154">
        <v>9059000</v>
      </c>
      <c r="G12" s="154">
        <v>13320000</v>
      </c>
      <c r="H12" s="154">
        <v>9692000</v>
      </c>
      <c r="I12" s="154">
        <v>15282000</v>
      </c>
      <c r="J12" s="154">
        <v>12590000</v>
      </c>
      <c r="K12" s="154">
        <v>11103000</v>
      </c>
      <c r="L12" s="481" t="s">
        <v>895</v>
      </c>
      <c r="M12" s="478" t="s">
        <v>785</v>
      </c>
      <c r="N12" s="327" t="s">
        <v>327</v>
      </c>
      <c r="O12" s="191"/>
      <c r="P12" s="191"/>
      <c r="Q12" s="191"/>
      <c r="R12" s="191"/>
      <c r="S12" s="189"/>
      <c r="T12" s="189"/>
      <c r="U12" s="193"/>
      <c r="V12" s="193"/>
      <c r="W12" s="326" t="s">
        <v>327</v>
      </c>
      <c r="X12" s="189">
        <v>0</v>
      </c>
      <c r="Y12" s="189">
        <v>9066000</v>
      </c>
      <c r="Z12" s="189">
        <v>9059000</v>
      </c>
      <c r="AA12" s="189">
        <v>13320000</v>
      </c>
      <c r="AB12" s="189">
        <v>9692000</v>
      </c>
      <c r="AC12" s="189">
        <v>10694000</v>
      </c>
      <c r="AD12" s="189">
        <v>9692000</v>
      </c>
      <c r="AE12" s="189" t="s">
        <v>638</v>
      </c>
      <c r="AF12" s="193" t="s">
        <v>327</v>
      </c>
      <c r="AG12" s="326" t="s">
        <v>327</v>
      </c>
      <c r="AH12" s="189">
        <f t="shared" si="60"/>
        <v>9059000</v>
      </c>
      <c r="AI12" s="189">
        <f t="shared" si="60"/>
        <v>13320000</v>
      </c>
      <c r="AJ12" s="189">
        <f t="shared" si="60"/>
        <v>9692000</v>
      </c>
      <c r="AK12" s="189">
        <f t="shared" si="60"/>
        <v>15282000</v>
      </c>
      <c r="AL12" s="189">
        <f t="shared" si="60"/>
        <v>12590000</v>
      </c>
      <c r="AM12" s="189">
        <f t="shared" si="60"/>
        <v>11103000</v>
      </c>
      <c r="AN12" s="189">
        <f t="shared" si="0"/>
        <v>15282000</v>
      </c>
      <c r="AO12" s="189" t="str">
        <f t="shared" si="61"/>
        <v>CEA 2010</v>
      </c>
      <c r="AP12" s="193" t="str">
        <f t="shared" si="62"/>
        <v>Sales to dealers of "Home and Clock Radios"</v>
      </c>
      <c r="AQ12" s="326" t="s">
        <v>327</v>
      </c>
      <c r="AR12" s="198" t="s">
        <v>776</v>
      </c>
      <c r="AS12" s="511">
        <v>0.02</v>
      </c>
      <c r="AT12" s="481" t="s">
        <v>244</v>
      </c>
      <c r="AU12" s="193"/>
      <c r="AV12" s="326" t="s">
        <v>327</v>
      </c>
      <c r="AW12" s="195">
        <v>0.1</v>
      </c>
      <c r="AX12" s="196">
        <v>1</v>
      </c>
      <c r="AY12" s="193" t="s">
        <v>249</v>
      </c>
      <c r="AZ12" s="193"/>
      <c r="BA12" s="193">
        <v>12</v>
      </c>
      <c r="BB12" s="193">
        <v>15</v>
      </c>
      <c r="BC12" s="193" t="s">
        <v>285</v>
      </c>
      <c r="BD12" s="193">
        <v>5</v>
      </c>
      <c r="BE12" s="193">
        <v>4</v>
      </c>
      <c r="BF12" s="197" t="s">
        <v>453</v>
      </c>
      <c r="BG12" s="326" t="s">
        <v>327</v>
      </c>
      <c r="BH12" s="195">
        <v>0</v>
      </c>
      <c r="BI12" s="196">
        <v>0</v>
      </c>
      <c r="BJ12" s="193" t="s">
        <v>249</v>
      </c>
      <c r="BK12" s="193"/>
      <c r="BL12" s="193" t="s">
        <v>283</v>
      </c>
      <c r="BM12" s="193" t="s">
        <v>283</v>
      </c>
      <c r="BN12" s="193" t="s">
        <v>283</v>
      </c>
      <c r="BO12" s="193"/>
      <c r="BP12" s="193"/>
      <c r="BQ12" s="193"/>
      <c r="BR12" s="326" t="s">
        <v>327</v>
      </c>
      <c r="BS12" s="198">
        <v>1</v>
      </c>
      <c r="BT12" s="198">
        <v>0.5</v>
      </c>
      <c r="BU12" s="198">
        <v>0.5</v>
      </c>
      <c r="BV12" s="198">
        <v>0</v>
      </c>
      <c r="BW12" s="198">
        <v>0</v>
      </c>
      <c r="BX12" s="198">
        <v>0</v>
      </c>
      <c r="BY12" s="198">
        <v>0</v>
      </c>
      <c r="BZ12" s="198">
        <v>0</v>
      </c>
      <c r="CA12" s="198">
        <v>0</v>
      </c>
      <c r="CB12" s="198">
        <v>0</v>
      </c>
      <c r="CC12" s="198">
        <v>0</v>
      </c>
      <c r="CD12" s="199">
        <v>0</v>
      </c>
      <c r="CE12" s="193" t="s">
        <v>434</v>
      </c>
      <c r="CF12" s="326" t="s">
        <v>327</v>
      </c>
      <c r="CG12" s="379">
        <v>0</v>
      </c>
      <c r="CH12" s="380">
        <v>1</v>
      </c>
      <c r="CI12" s="380">
        <v>0</v>
      </c>
      <c r="CJ12" s="380">
        <v>0</v>
      </c>
      <c r="CK12" s="380">
        <v>0</v>
      </c>
      <c r="CL12" s="380">
        <v>0</v>
      </c>
      <c r="CM12" s="380">
        <v>0</v>
      </c>
      <c r="CN12" s="380">
        <v>0</v>
      </c>
      <c r="CO12" s="380">
        <v>0</v>
      </c>
      <c r="CP12" s="386">
        <v>0</v>
      </c>
      <c r="CQ12" s="193" t="s">
        <v>434</v>
      </c>
      <c r="CR12" s="326" t="s">
        <v>327</v>
      </c>
      <c r="CS12" s="200">
        <f t="shared" si="1"/>
        <v>1528200</v>
      </c>
      <c r="CT12" s="154">
        <f t="shared" si="2"/>
        <v>764100</v>
      </c>
      <c r="CU12" s="154">
        <f t="shared" si="3"/>
        <v>764100</v>
      </c>
      <c r="CV12" s="154">
        <f t="shared" si="4"/>
        <v>0</v>
      </c>
      <c r="CW12" s="154">
        <f t="shared" si="5"/>
        <v>0</v>
      </c>
      <c r="CX12" s="154">
        <f t="shared" si="6"/>
        <v>0</v>
      </c>
      <c r="CY12" s="154">
        <f t="shared" si="7"/>
        <v>0</v>
      </c>
      <c r="CZ12" s="154">
        <f t="shared" si="8"/>
        <v>0</v>
      </c>
      <c r="DA12" s="154">
        <f t="shared" si="9"/>
        <v>0</v>
      </c>
      <c r="DB12" s="154">
        <f t="shared" si="10"/>
        <v>0</v>
      </c>
      <c r="DC12" s="154">
        <f t="shared" si="11"/>
        <v>0</v>
      </c>
      <c r="DD12" s="154">
        <f t="shared" si="12"/>
        <v>0</v>
      </c>
      <c r="DE12" s="326"/>
      <c r="DF12" s="201">
        <f t="shared" si="13"/>
        <v>0</v>
      </c>
      <c r="DG12" s="202">
        <f t="shared" si="14"/>
        <v>0</v>
      </c>
      <c r="DH12" s="202">
        <f t="shared" si="15"/>
        <v>0</v>
      </c>
      <c r="DI12" s="202">
        <f t="shared" si="16"/>
        <v>0</v>
      </c>
      <c r="DJ12" s="202">
        <f t="shared" si="17"/>
        <v>0</v>
      </c>
      <c r="DK12" s="202">
        <f t="shared" si="18"/>
        <v>0</v>
      </c>
      <c r="DL12" s="202">
        <f t="shared" si="19"/>
        <v>0</v>
      </c>
      <c r="DM12" s="202">
        <f t="shared" si="20"/>
        <v>0</v>
      </c>
      <c r="DN12" s="202">
        <f t="shared" si="21"/>
        <v>0</v>
      </c>
      <c r="DO12" s="203">
        <f t="shared" si="22"/>
        <v>0</v>
      </c>
      <c r="DP12" s="326" t="s">
        <v>327</v>
      </c>
      <c r="DQ12" s="200">
        <f t="shared" si="30"/>
        <v>1497636</v>
      </c>
      <c r="DR12" s="154">
        <f t="shared" si="31"/>
        <v>748818</v>
      </c>
      <c r="DS12" s="154">
        <f t="shared" si="32"/>
        <v>748818</v>
      </c>
      <c r="DT12" s="154">
        <f t="shared" si="33"/>
        <v>0</v>
      </c>
      <c r="DU12" s="154">
        <f t="shared" si="34"/>
        <v>0</v>
      </c>
      <c r="DV12" s="154">
        <f t="shared" si="35"/>
        <v>0</v>
      </c>
      <c r="DW12" s="154">
        <f t="shared" si="36"/>
        <v>0</v>
      </c>
      <c r="DX12" s="154">
        <f t="shared" si="37"/>
        <v>0</v>
      </c>
      <c r="DY12" s="154">
        <f t="shared" si="38"/>
        <v>0</v>
      </c>
      <c r="DZ12" s="154">
        <f t="shared" si="39"/>
        <v>0</v>
      </c>
      <c r="EA12" s="154">
        <f t="shared" si="40"/>
        <v>0</v>
      </c>
      <c r="EB12" s="154">
        <f t="shared" si="41"/>
        <v>0</v>
      </c>
      <c r="EC12" s="326"/>
      <c r="ED12" s="201">
        <f t="shared" si="42"/>
        <v>0</v>
      </c>
      <c r="EE12" s="202">
        <f t="shared" si="25"/>
        <v>0</v>
      </c>
      <c r="EF12" s="202">
        <f t="shared" si="25"/>
        <v>0</v>
      </c>
      <c r="EG12" s="202">
        <f t="shared" si="25"/>
        <v>0</v>
      </c>
      <c r="EH12" s="202">
        <f t="shared" si="25"/>
        <v>0</v>
      </c>
      <c r="EI12" s="202">
        <f t="shared" si="25"/>
        <v>0</v>
      </c>
      <c r="EJ12" s="202">
        <f t="shared" si="25"/>
        <v>0</v>
      </c>
      <c r="EK12" s="202">
        <f t="shared" si="25"/>
        <v>0</v>
      </c>
      <c r="EL12" s="202">
        <f t="shared" si="25"/>
        <v>0</v>
      </c>
      <c r="EM12" s="203">
        <f t="shared" si="25"/>
        <v>0</v>
      </c>
      <c r="EN12" s="326" t="s">
        <v>327</v>
      </c>
      <c r="EO12" s="200">
        <f t="shared" si="43"/>
        <v>30564</v>
      </c>
      <c r="EP12" s="154">
        <f t="shared" si="44"/>
        <v>15282</v>
      </c>
      <c r="EQ12" s="154">
        <f t="shared" si="45"/>
        <v>15282</v>
      </c>
      <c r="ER12" s="154">
        <f t="shared" si="46"/>
        <v>0</v>
      </c>
      <c r="ES12" s="154">
        <f t="shared" si="47"/>
        <v>0</v>
      </c>
      <c r="ET12" s="154">
        <f t="shared" si="48"/>
        <v>0</v>
      </c>
      <c r="EU12" s="154">
        <f t="shared" si="49"/>
        <v>0</v>
      </c>
      <c r="EV12" s="154">
        <f t="shared" si="50"/>
        <v>0</v>
      </c>
      <c r="EW12" s="154">
        <f t="shared" si="51"/>
        <v>0</v>
      </c>
      <c r="EX12" s="154">
        <f t="shared" si="52"/>
        <v>0</v>
      </c>
      <c r="EY12" s="154">
        <f t="shared" si="53"/>
        <v>0</v>
      </c>
      <c r="EZ12" s="154">
        <f t="shared" si="54"/>
        <v>0</v>
      </c>
      <c r="FA12" s="326"/>
      <c r="FB12" s="201">
        <f t="shared" si="55"/>
        <v>0</v>
      </c>
      <c r="FC12" s="202">
        <f t="shared" si="28"/>
        <v>0</v>
      </c>
      <c r="FD12" s="202">
        <f t="shared" si="28"/>
        <v>0</v>
      </c>
      <c r="FE12" s="202">
        <f t="shared" si="28"/>
        <v>0</v>
      </c>
      <c r="FF12" s="202">
        <f t="shared" si="28"/>
        <v>0</v>
      </c>
      <c r="FG12" s="202">
        <f t="shared" si="28"/>
        <v>0</v>
      </c>
      <c r="FH12" s="202">
        <f t="shared" si="28"/>
        <v>0</v>
      </c>
      <c r="FI12" s="202">
        <f t="shared" si="28"/>
        <v>0</v>
      </c>
      <c r="FJ12" s="202">
        <f t="shared" si="28"/>
        <v>0</v>
      </c>
      <c r="FK12" s="203">
        <f t="shared" si="28"/>
        <v>0</v>
      </c>
    </row>
    <row r="13" spans="1:167" s="6" customFormat="1">
      <c r="A13" s="204" t="s">
        <v>147</v>
      </c>
      <c r="B13" s="204" t="s">
        <v>150</v>
      </c>
      <c r="C13" s="205" t="s">
        <v>296</v>
      </c>
      <c r="D13" s="206">
        <f t="shared" si="56"/>
        <v>8</v>
      </c>
      <c r="E13" s="327"/>
      <c r="F13" s="219"/>
      <c r="G13" s="219"/>
      <c r="H13" s="219"/>
      <c r="I13" s="219">
        <v>500000</v>
      </c>
      <c r="J13" s="219"/>
      <c r="K13" s="219"/>
      <c r="L13" s="479" t="s">
        <v>843</v>
      </c>
      <c r="M13" s="480" t="s">
        <v>907</v>
      </c>
      <c r="N13" s="327" t="s">
        <v>327</v>
      </c>
      <c r="O13" s="209"/>
      <c r="P13" s="209"/>
      <c r="Q13" s="209"/>
      <c r="R13" s="209"/>
      <c r="S13" s="207"/>
      <c r="T13" s="207"/>
      <c r="U13" s="211"/>
      <c r="V13" s="211"/>
      <c r="W13" s="326" t="s">
        <v>327</v>
      </c>
      <c r="X13" s="207"/>
      <c r="Y13" s="207"/>
      <c r="Z13" s="207"/>
      <c r="AA13" s="207"/>
      <c r="AB13" s="207"/>
      <c r="AC13" s="207"/>
      <c r="AD13" s="207"/>
      <c r="AE13" s="207"/>
      <c r="AF13" s="211"/>
      <c r="AG13" s="326"/>
      <c r="AH13" s="207"/>
      <c r="AI13" s="207"/>
      <c r="AJ13" s="207"/>
      <c r="AK13" s="207">
        <f>I13</f>
        <v>500000</v>
      </c>
      <c r="AL13" s="207"/>
      <c r="AM13" s="207"/>
      <c r="AN13" s="207">
        <f t="shared" si="0"/>
        <v>500000</v>
      </c>
      <c r="AO13" s="207" t="str">
        <f>L13</f>
        <v>DOE estimate</v>
      </c>
      <c r="AP13" s="211" t="str">
        <f>M13</f>
        <v>Unverified</v>
      </c>
      <c r="AQ13" s="326"/>
      <c r="AR13" s="212" t="s">
        <v>775</v>
      </c>
      <c r="AS13" s="512">
        <v>0</v>
      </c>
      <c r="AT13" s="211"/>
      <c r="AU13" s="211"/>
      <c r="AV13" s="326"/>
      <c r="AW13" s="213">
        <v>1</v>
      </c>
      <c r="AX13" s="214">
        <v>1</v>
      </c>
      <c r="AY13" s="479" t="s">
        <v>272</v>
      </c>
      <c r="AZ13" s="211"/>
      <c r="BA13" s="211">
        <v>5</v>
      </c>
      <c r="BB13" s="211">
        <v>2.5</v>
      </c>
      <c r="BC13" s="211" t="s">
        <v>945</v>
      </c>
      <c r="BD13" s="211"/>
      <c r="BE13" s="211"/>
      <c r="BF13" s="215"/>
      <c r="BG13" s="326"/>
      <c r="BH13" s="213">
        <v>1</v>
      </c>
      <c r="BI13" s="214">
        <v>1</v>
      </c>
      <c r="BJ13" s="211" t="s">
        <v>294</v>
      </c>
      <c r="BK13" s="211"/>
      <c r="BL13" s="211">
        <v>2.4</v>
      </c>
      <c r="BM13" s="211">
        <v>1.4</v>
      </c>
      <c r="BN13" s="211" t="s">
        <v>946</v>
      </c>
      <c r="BO13" s="211"/>
      <c r="BP13" s="211"/>
      <c r="BQ13" s="211"/>
      <c r="BR13" s="326"/>
      <c r="BS13" s="216">
        <v>1</v>
      </c>
      <c r="BT13" s="216">
        <v>1</v>
      </c>
      <c r="BU13" s="216">
        <v>0</v>
      </c>
      <c r="BV13" s="216">
        <v>0</v>
      </c>
      <c r="BW13" s="216">
        <v>0</v>
      </c>
      <c r="BX13" s="216">
        <v>0</v>
      </c>
      <c r="BY13" s="216">
        <v>0</v>
      </c>
      <c r="BZ13" s="216">
        <v>0</v>
      </c>
      <c r="CA13" s="216">
        <v>0</v>
      </c>
      <c r="CB13" s="216">
        <v>0</v>
      </c>
      <c r="CC13" s="216">
        <v>0</v>
      </c>
      <c r="CD13" s="217">
        <v>0</v>
      </c>
      <c r="CE13" s="211" t="s">
        <v>272</v>
      </c>
      <c r="CF13" s="326"/>
      <c r="CG13" s="377">
        <v>0</v>
      </c>
      <c r="CH13" s="378">
        <v>1</v>
      </c>
      <c r="CI13" s="378">
        <v>0</v>
      </c>
      <c r="CJ13" s="378">
        <v>0</v>
      </c>
      <c r="CK13" s="378">
        <v>0</v>
      </c>
      <c r="CL13" s="378">
        <v>0</v>
      </c>
      <c r="CM13" s="378">
        <v>0</v>
      </c>
      <c r="CN13" s="378">
        <v>0</v>
      </c>
      <c r="CO13" s="378">
        <v>0</v>
      </c>
      <c r="CP13" s="385">
        <v>0</v>
      </c>
      <c r="CQ13" s="211" t="s">
        <v>294</v>
      </c>
      <c r="CR13" s="326"/>
      <c r="CS13" s="218">
        <f t="shared" si="1"/>
        <v>500000</v>
      </c>
      <c r="CT13" s="219">
        <f t="shared" si="2"/>
        <v>500000</v>
      </c>
      <c r="CU13" s="219">
        <f t="shared" si="3"/>
        <v>0</v>
      </c>
      <c r="CV13" s="219">
        <f t="shared" si="4"/>
        <v>0</v>
      </c>
      <c r="CW13" s="219">
        <f t="shared" si="5"/>
        <v>0</v>
      </c>
      <c r="CX13" s="219">
        <f t="shared" si="6"/>
        <v>0</v>
      </c>
      <c r="CY13" s="219">
        <f t="shared" si="7"/>
        <v>0</v>
      </c>
      <c r="CZ13" s="219">
        <f t="shared" si="8"/>
        <v>0</v>
      </c>
      <c r="DA13" s="219">
        <f t="shared" si="9"/>
        <v>0</v>
      </c>
      <c r="DB13" s="219">
        <f t="shared" si="10"/>
        <v>0</v>
      </c>
      <c r="DC13" s="219">
        <f t="shared" si="11"/>
        <v>0</v>
      </c>
      <c r="DD13" s="219">
        <f t="shared" si="12"/>
        <v>0</v>
      </c>
      <c r="DE13" s="326"/>
      <c r="DF13" s="220">
        <f t="shared" si="13"/>
        <v>0</v>
      </c>
      <c r="DG13" s="221">
        <f t="shared" si="14"/>
        <v>500000</v>
      </c>
      <c r="DH13" s="221">
        <f t="shared" si="15"/>
        <v>0</v>
      </c>
      <c r="DI13" s="221">
        <f t="shared" si="16"/>
        <v>0</v>
      </c>
      <c r="DJ13" s="221">
        <f t="shared" si="17"/>
        <v>0</v>
      </c>
      <c r="DK13" s="221">
        <f t="shared" si="18"/>
        <v>0</v>
      </c>
      <c r="DL13" s="221">
        <f t="shared" si="19"/>
        <v>0</v>
      </c>
      <c r="DM13" s="221">
        <f t="shared" si="20"/>
        <v>0</v>
      </c>
      <c r="DN13" s="221">
        <f t="shared" si="21"/>
        <v>0</v>
      </c>
      <c r="DO13" s="222">
        <f t="shared" si="22"/>
        <v>0</v>
      </c>
      <c r="DP13" s="326"/>
      <c r="DQ13" s="218">
        <f t="shared" si="30"/>
        <v>500000</v>
      </c>
      <c r="DR13" s="219">
        <f t="shared" si="31"/>
        <v>500000</v>
      </c>
      <c r="DS13" s="219">
        <f t="shared" si="32"/>
        <v>0</v>
      </c>
      <c r="DT13" s="219">
        <f t="shared" si="33"/>
        <v>0</v>
      </c>
      <c r="DU13" s="219">
        <f t="shared" si="34"/>
        <v>0</v>
      </c>
      <c r="DV13" s="219">
        <f t="shared" si="35"/>
        <v>0</v>
      </c>
      <c r="DW13" s="219">
        <f t="shared" si="36"/>
        <v>0</v>
      </c>
      <c r="DX13" s="219">
        <f t="shared" si="37"/>
        <v>0</v>
      </c>
      <c r="DY13" s="219">
        <f t="shared" si="38"/>
        <v>0</v>
      </c>
      <c r="DZ13" s="219">
        <f t="shared" si="39"/>
        <v>0</v>
      </c>
      <c r="EA13" s="219">
        <f t="shared" si="40"/>
        <v>0</v>
      </c>
      <c r="EB13" s="219">
        <f t="shared" si="41"/>
        <v>0</v>
      </c>
      <c r="EC13" s="326"/>
      <c r="ED13" s="220">
        <f t="shared" si="42"/>
        <v>0</v>
      </c>
      <c r="EE13" s="221">
        <f t="shared" si="25"/>
        <v>500000</v>
      </c>
      <c r="EF13" s="221">
        <f t="shared" si="25"/>
        <v>0</v>
      </c>
      <c r="EG13" s="221">
        <f t="shared" si="25"/>
        <v>0</v>
      </c>
      <c r="EH13" s="221">
        <f t="shared" si="25"/>
        <v>0</v>
      </c>
      <c r="EI13" s="221">
        <f t="shared" si="25"/>
        <v>0</v>
      </c>
      <c r="EJ13" s="221">
        <f t="shared" si="25"/>
        <v>0</v>
      </c>
      <c r="EK13" s="221">
        <f t="shared" si="25"/>
        <v>0</v>
      </c>
      <c r="EL13" s="221">
        <f t="shared" si="25"/>
        <v>0</v>
      </c>
      <c r="EM13" s="222">
        <f t="shared" si="25"/>
        <v>0</v>
      </c>
      <c r="EN13" s="326"/>
      <c r="EO13" s="218">
        <f t="shared" si="43"/>
        <v>0</v>
      </c>
      <c r="EP13" s="219">
        <f t="shared" si="44"/>
        <v>0</v>
      </c>
      <c r="EQ13" s="219">
        <f t="shared" si="45"/>
        <v>0</v>
      </c>
      <c r="ER13" s="219">
        <f t="shared" si="46"/>
        <v>0</v>
      </c>
      <c r="ES13" s="219">
        <f t="shared" si="47"/>
        <v>0</v>
      </c>
      <c r="ET13" s="219">
        <f t="shared" si="48"/>
        <v>0</v>
      </c>
      <c r="EU13" s="219">
        <f t="shared" si="49"/>
        <v>0</v>
      </c>
      <c r="EV13" s="219">
        <f t="shared" si="50"/>
        <v>0</v>
      </c>
      <c r="EW13" s="219">
        <f t="shared" si="51"/>
        <v>0</v>
      </c>
      <c r="EX13" s="219">
        <f t="shared" si="52"/>
        <v>0</v>
      </c>
      <c r="EY13" s="219">
        <f t="shared" si="53"/>
        <v>0</v>
      </c>
      <c r="EZ13" s="219">
        <f t="shared" si="54"/>
        <v>0</v>
      </c>
      <c r="FA13" s="326"/>
      <c r="FB13" s="220">
        <f t="shared" si="55"/>
        <v>0</v>
      </c>
      <c r="FC13" s="221">
        <f t="shared" si="28"/>
        <v>0</v>
      </c>
      <c r="FD13" s="221">
        <f t="shared" si="28"/>
        <v>0</v>
      </c>
      <c r="FE13" s="221">
        <f t="shared" si="28"/>
        <v>0</v>
      </c>
      <c r="FF13" s="221">
        <f t="shared" si="28"/>
        <v>0</v>
      </c>
      <c r="FG13" s="221">
        <f t="shared" si="28"/>
        <v>0</v>
      </c>
      <c r="FH13" s="221">
        <f t="shared" si="28"/>
        <v>0</v>
      </c>
      <c r="FI13" s="221">
        <f t="shared" si="28"/>
        <v>0</v>
      </c>
      <c r="FJ13" s="221">
        <f t="shared" si="28"/>
        <v>0</v>
      </c>
      <c r="FK13" s="222">
        <f t="shared" si="28"/>
        <v>0</v>
      </c>
    </row>
    <row r="14" spans="1:167" s="6" customFormat="1">
      <c r="A14" s="256" t="s">
        <v>147</v>
      </c>
      <c r="B14" s="256" t="s">
        <v>150</v>
      </c>
      <c r="C14" s="257" t="s">
        <v>223</v>
      </c>
      <c r="D14" s="258">
        <f t="shared" si="56"/>
        <v>9</v>
      </c>
      <c r="E14" s="327" t="s">
        <v>327</v>
      </c>
      <c r="F14" s="267">
        <v>38124000</v>
      </c>
      <c r="G14" s="268">
        <v>48020000</v>
      </c>
      <c r="H14" s="268">
        <v>43731000</v>
      </c>
      <c r="I14" s="268">
        <v>40101000</v>
      </c>
      <c r="J14" s="268">
        <v>36687000</v>
      </c>
      <c r="K14" s="268">
        <v>34458000</v>
      </c>
      <c r="L14" s="422" t="s">
        <v>895</v>
      </c>
      <c r="M14" s="482" t="s">
        <v>791</v>
      </c>
      <c r="N14" s="327" t="s">
        <v>327</v>
      </c>
      <c r="O14" s="191"/>
      <c r="P14" s="191"/>
      <c r="Q14" s="191"/>
      <c r="R14" s="191"/>
      <c r="S14" s="189"/>
      <c r="T14" s="189"/>
      <c r="U14" s="193"/>
      <c r="V14" s="193"/>
      <c r="W14" s="326" t="s">
        <v>327</v>
      </c>
      <c r="X14" s="189">
        <v>7126000</v>
      </c>
      <c r="Y14" s="189">
        <v>24812000</v>
      </c>
      <c r="Z14" s="189">
        <v>38124000</v>
      </c>
      <c r="AA14" s="189">
        <v>48020000</v>
      </c>
      <c r="AB14" s="189">
        <v>43731000</v>
      </c>
      <c r="AC14" s="189">
        <v>40712000</v>
      </c>
      <c r="AD14" s="189">
        <v>43731000</v>
      </c>
      <c r="AE14" s="189" t="s">
        <v>638</v>
      </c>
      <c r="AF14" s="255" t="s">
        <v>327</v>
      </c>
      <c r="AG14" s="326" t="s">
        <v>327</v>
      </c>
      <c r="AH14" s="189">
        <f t="shared" ref="AH14" si="63">F14</f>
        <v>38124000</v>
      </c>
      <c r="AI14" s="189">
        <f t="shared" ref="AI14" si="64">G14</f>
        <v>48020000</v>
      </c>
      <c r="AJ14" s="189">
        <f t="shared" ref="AJ14" si="65">H14</f>
        <v>43731000</v>
      </c>
      <c r="AK14" s="189">
        <f t="shared" ref="AK14" si="66">I14</f>
        <v>40101000</v>
      </c>
      <c r="AL14" s="189">
        <f t="shared" ref="AL14" si="67">J14</f>
        <v>36687000</v>
      </c>
      <c r="AM14" s="189">
        <f t="shared" ref="AM14" si="68">K14</f>
        <v>34458000</v>
      </c>
      <c r="AN14" s="189">
        <f t="shared" ref="AN14" si="69">AK14</f>
        <v>40101000</v>
      </c>
      <c r="AO14" s="189" t="str">
        <f t="shared" ref="AO14" si="70">L14</f>
        <v>CEA 2010</v>
      </c>
      <c r="AP14" s="255" t="str">
        <f t="shared" ref="AP14" si="71">M14</f>
        <v>Sales to dealers of "Portable Media/MP3 Players"</v>
      </c>
      <c r="AQ14" s="326" t="s">
        <v>327</v>
      </c>
      <c r="AR14" s="194" t="s">
        <v>775</v>
      </c>
      <c r="AS14" s="511">
        <v>0</v>
      </c>
      <c r="AT14" s="193"/>
      <c r="AU14" s="193"/>
      <c r="AV14" s="326" t="s">
        <v>327</v>
      </c>
      <c r="AW14" s="195">
        <v>0.1</v>
      </c>
      <c r="AX14" s="196">
        <v>1</v>
      </c>
      <c r="AY14" s="192" t="s">
        <v>249</v>
      </c>
      <c r="AZ14" s="193"/>
      <c r="BA14" s="193">
        <v>5</v>
      </c>
      <c r="BB14" s="193">
        <v>5</v>
      </c>
      <c r="BC14" s="193" t="s">
        <v>284</v>
      </c>
      <c r="BD14" s="193"/>
      <c r="BE14" s="193"/>
      <c r="BF14" s="197"/>
      <c r="BG14" s="326" t="s">
        <v>327</v>
      </c>
      <c r="BH14" s="195">
        <v>1</v>
      </c>
      <c r="BI14" s="196">
        <v>1</v>
      </c>
      <c r="BJ14" s="193" t="s">
        <v>274</v>
      </c>
      <c r="BK14" s="193"/>
      <c r="BL14" s="193">
        <v>3.7</v>
      </c>
      <c r="BM14" s="193">
        <v>2.6455000000000002</v>
      </c>
      <c r="BN14" s="193" t="s">
        <v>293</v>
      </c>
      <c r="BO14" s="193"/>
      <c r="BP14" s="193"/>
      <c r="BQ14" s="193"/>
      <c r="BR14" s="326" t="s">
        <v>327</v>
      </c>
      <c r="BS14" s="198">
        <v>0</v>
      </c>
      <c r="BT14" s="198">
        <v>0</v>
      </c>
      <c r="BU14" s="198">
        <v>0</v>
      </c>
      <c r="BV14" s="198">
        <v>0</v>
      </c>
      <c r="BW14" s="198">
        <v>0</v>
      </c>
      <c r="BX14" s="198">
        <v>0.1</v>
      </c>
      <c r="BY14" s="198">
        <v>0</v>
      </c>
      <c r="BZ14" s="198">
        <v>0</v>
      </c>
      <c r="CA14" s="198">
        <v>0</v>
      </c>
      <c r="CB14" s="198">
        <v>0</v>
      </c>
      <c r="CC14" s="198">
        <v>0.9</v>
      </c>
      <c r="CD14" s="199">
        <v>0</v>
      </c>
      <c r="CE14" s="193" t="s">
        <v>249</v>
      </c>
      <c r="CF14" s="326" t="s">
        <v>327</v>
      </c>
      <c r="CG14" s="379">
        <v>0</v>
      </c>
      <c r="CH14" s="380">
        <v>0.1</v>
      </c>
      <c r="CI14" s="380">
        <v>0</v>
      </c>
      <c r="CJ14" s="380">
        <v>0</v>
      </c>
      <c r="CK14" s="380">
        <v>0</v>
      </c>
      <c r="CL14" s="380">
        <v>0</v>
      </c>
      <c r="CM14" s="380">
        <v>0</v>
      </c>
      <c r="CN14" s="380">
        <v>0.9</v>
      </c>
      <c r="CO14" s="380">
        <v>0</v>
      </c>
      <c r="CP14" s="386">
        <v>0</v>
      </c>
      <c r="CQ14" s="193" t="s">
        <v>249</v>
      </c>
      <c r="CR14" s="326" t="s">
        <v>327</v>
      </c>
      <c r="CS14" s="200">
        <f t="shared" si="1"/>
        <v>0</v>
      </c>
      <c r="CT14" s="154">
        <f t="shared" si="2"/>
        <v>0</v>
      </c>
      <c r="CU14" s="154">
        <f t="shared" si="3"/>
        <v>0</v>
      </c>
      <c r="CV14" s="154">
        <f t="shared" si="4"/>
        <v>0</v>
      </c>
      <c r="CW14" s="154">
        <f t="shared" si="5"/>
        <v>0</v>
      </c>
      <c r="CX14" s="154">
        <f t="shared" si="6"/>
        <v>401010</v>
      </c>
      <c r="CY14" s="154">
        <f t="shared" si="7"/>
        <v>0</v>
      </c>
      <c r="CZ14" s="154">
        <f t="shared" si="8"/>
        <v>0</v>
      </c>
      <c r="DA14" s="154">
        <f t="shared" si="9"/>
        <v>0</v>
      </c>
      <c r="DB14" s="154">
        <f t="shared" si="10"/>
        <v>0</v>
      </c>
      <c r="DC14" s="154">
        <f t="shared" si="11"/>
        <v>3609090</v>
      </c>
      <c r="DD14" s="154">
        <f t="shared" si="12"/>
        <v>0</v>
      </c>
      <c r="DE14" s="326"/>
      <c r="DF14" s="201">
        <f t="shared" si="13"/>
        <v>0</v>
      </c>
      <c r="DG14" s="202">
        <f t="shared" si="14"/>
        <v>4010100</v>
      </c>
      <c r="DH14" s="202">
        <f t="shared" si="15"/>
        <v>0</v>
      </c>
      <c r="DI14" s="202">
        <f t="shared" si="16"/>
        <v>0</v>
      </c>
      <c r="DJ14" s="202">
        <f t="shared" si="17"/>
        <v>0</v>
      </c>
      <c r="DK14" s="202">
        <f t="shared" si="18"/>
        <v>0</v>
      </c>
      <c r="DL14" s="202">
        <f t="shared" si="19"/>
        <v>0</v>
      </c>
      <c r="DM14" s="202">
        <f t="shared" si="20"/>
        <v>36090900</v>
      </c>
      <c r="DN14" s="202">
        <f t="shared" si="21"/>
        <v>0</v>
      </c>
      <c r="DO14" s="203">
        <f t="shared" si="22"/>
        <v>0</v>
      </c>
      <c r="DP14" s="326" t="s">
        <v>327</v>
      </c>
      <c r="DQ14" s="200">
        <f t="shared" si="30"/>
        <v>0</v>
      </c>
      <c r="DR14" s="154">
        <f t="shared" si="31"/>
        <v>0</v>
      </c>
      <c r="DS14" s="154">
        <f t="shared" si="32"/>
        <v>0</v>
      </c>
      <c r="DT14" s="154">
        <f t="shared" si="33"/>
        <v>0</v>
      </c>
      <c r="DU14" s="154">
        <f t="shared" si="34"/>
        <v>0</v>
      </c>
      <c r="DV14" s="154">
        <f t="shared" si="35"/>
        <v>401010</v>
      </c>
      <c r="DW14" s="154">
        <f t="shared" si="36"/>
        <v>0</v>
      </c>
      <c r="DX14" s="154">
        <f t="shared" si="37"/>
        <v>0</v>
      </c>
      <c r="DY14" s="154">
        <f t="shared" si="38"/>
        <v>0</v>
      </c>
      <c r="DZ14" s="154">
        <f t="shared" si="39"/>
        <v>0</v>
      </c>
      <c r="EA14" s="154">
        <f t="shared" si="40"/>
        <v>3609090</v>
      </c>
      <c r="EB14" s="154">
        <f t="shared" si="41"/>
        <v>0</v>
      </c>
      <c r="EC14" s="326"/>
      <c r="ED14" s="201">
        <f t="shared" si="42"/>
        <v>0</v>
      </c>
      <c r="EE14" s="202">
        <f t="shared" si="25"/>
        <v>4010100</v>
      </c>
      <c r="EF14" s="202">
        <f t="shared" si="25"/>
        <v>0</v>
      </c>
      <c r="EG14" s="202">
        <f t="shared" si="25"/>
        <v>0</v>
      </c>
      <c r="EH14" s="202">
        <f t="shared" si="25"/>
        <v>0</v>
      </c>
      <c r="EI14" s="202">
        <f t="shared" si="25"/>
        <v>0</v>
      </c>
      <c r="EJ14" s="202">
        <f t="shared" si="25"/>
        <v>0</v>
      </c>
      <c r="EK14" s="202">
        <f t="shared" si="25"/>
        <v>36090900</v>
      </c>
      <c r="EL14" s="202">
        <f t="shared" si="25"/>
        <v>0</v>
      </c>
      <c r="EM14" s="203">
        <f t="shared" si="25"/>
        <v>0</v>
      </c>
      <c r="EN14" s="326" t="s">
        <v>327</v>
      </c>
      <c r="EO14" s="200">
        <f t="shared" si="43"/>
        <v>0</v>
      </c>
      <c r="EP14" s="154">
        <f t="shared" si="44"/>
        <v>0</v>
      </c>
      <c r="EQ14" s="154">
        <f t="shared" si="45"/>
        <v>0</v>
      </c>
      <c r="ER14" s="154">
        <f t="shared" si="46"/>
        <v>0</v>
      </c>
      <c r="ES14" s="154">
        <f t="shared" si="47"/>
        <v>0</v>
      </c>
      <c r="ET14" s="154">
        <f t="shared" si="48"/>
        <v>0</v>
      </c>
      <c r="EU14" s="154">
        <f t="shared" si="49"/>
        <v>0</v>
      </c>
      <c r="EV14" s="154">
        <f t="shared" si="50"/>
        <v>0</v>
      </c>
      <c r="EW14" s="154">
        <f t="shared" si="51"/>
        <v>0</v>
      </c>
      <c r="EX14" s="154">
        <f t="shared" si="52"/>
        <v>0</v>
      </c>
      <c r="EY14" s="154">
        <f t="shared" si="53"/>
        <v>0</v>
      </c>
      <c r="EZ14" s="154">
        <f t="shared" si="54"/>
        <v>0</v>
      </c>
      <c r="FA14" s="326"/>
      <c r="FB14" s="201">
        <f t="shared" si="55"/>
        <v>0</v>
      </c>
      <c r="FC14" s="202">
        <f t="shared" si="28"/>
        <v>0</v>
      </c>
      <c r="FD14" s="202">
        <f t="shared" si="28"/>
        <v>0</v>
      </c>
      <c r="FE14" s="202">
        <f t="shared" si="28"/>
        <v>0</v>
      </c>
      <c r="FF14" s="202">
        <f t="shared" si="28"/>
        <v>0</v>
      </c>
      <c r="FG14" s="202">
        <f t="shared" si="28"/>
        <v>0</v>
      </c>
      <c r="FH14" s="202">
        <f t="shared" si="28"/>
        <v>0</v>
      </c>
      <c r="FI14" s="202">
        <f t="shared" si="28"/>
        <v>0</v>
      </c>
      <c r="FJ14" s="202">
        <f t="shared" si="28"/>
        <v>0</v>
      </c>
      <c r="FK14" s="203">
        <f t="shared" si="28"/>
        <v>0</v>
      </c>
    </row>
    <row r="15" spans="1:167" s="6" customFormat="1">
      <c r="A15" s="204" t="s">
        <v>152</v>
      </c>
      <c r="B15" s="204" t="s">
        <v>151</v>
      </c>
      <c r="C15" s="205" t="s">
        <v>224</v>
      </c>
      <c r="D15" s="206">
        <f t="shared" si="56"/>
        <v>10</v>
      </c>
      <c r="E15" s="327" t="s">
        <v>327</v>
      </c>
      <c r="F15" s="219">
        <v>3850000</v>
      </c>
      <c r="G15" s="219">
        <v>2175000</v>
      </c>
      <c r="H15" s="219">
        <v>1977000</v>
      </c>
      <c r="I15" s="219">
        <v>1750000</v>
      </c>
      <c r="J15" s="219">
        <v>1000000</v>
      </c>
      <c r="K15" s="219">
        <v>800000</v>
      </c>
      <c r="L15" s="479" t="s">
        <v>895</v>
      </c>
      <c r="M15" s="480" t="s">
        <v>327</v>
      </c>
      <c r="N15" s="327" t="s">
        <v>327</v>
      </c>
      <c r="O15" s="430"/>
      <c r="P15" s="428"/>
      <c r="Q15" s="428"/>
      <c r="R15" s="428"/>
      <c r="S15" s="427"/>
      <c r="T15" s="427"/>
      <c r="U15" s="431"/>
      <c r="V15" s="429"/>
      <c r="W15" s="326" t="s">
        <v>327</v>
      </c>
      <c r="X15" s="426">
        <v>0</v>
      </c>
      <c r="Y15" s="427">
        <v>4720000</v>
      </c>
      <c r="Z15" s="427">
        <v>3850000</v>
      </c>
      <c r="AA15" s="427">
        <v>2175000</v>
      </c>
      <c r="AB15" s="427">
        <v>1977000</v>
      </c>
      <c r="AC15" s="427">
        <v>1810000</v>
      </c>
      <c r="AD15" s="427">
        <v>1977000</v>
      </c>
      <c r="AE15" s="427" t="s">
        <v>638</v>
      </c>
      <c r="AF15" s="429" t="s">
        <v>327</v>
      </c>
      <c r="AG15" s="326" t="s">
        <v>327</v>
      </c>
      <c r="AH15" s="426">
        <f t="shared" ref="AH15" si="72">F15</f>
        <v>3850000</v>
      </c>
      <c r="AI15" s="427">
        <f t="shared" ref="AI15" si="73">G15</f>
        <v>2175000</v>
      </c>
      <c r="AJ15" s="427">
        <f t="shared" ref="AJ15" si="74">H15</f>
        <v>1977000</v>
      </c>
      <c r="AK15" s="427">
        <f t="shared" ref="AK15" si="75">I15</f>
        <v>1750000</v>
      </c>
      <c r="AL15" s="427">
        <f t="shared" ref="AL15" si="76">J15</f>
        <v>1000000</v>
      </c>
      <c r="AM15" s="427">
        <f t="shared" ref="AM15" si="77">K15</f>
        <v>800000</v>
      </c>
      <c r="AN15" s="427">
        <f t="shared" ref="AN15" si="78">AK15</f>
        <v>1750000</v>
      </c>
      <c r="AO15" s="427" t="str">
        <f t="shared" ref="AO15" si="79">L15</f>
        <v>CEA 2010</v>
      </c>
      <c r="AP15" s="429" t="str">
        <f t="shared" ref="AP15" si="80">M15</f>
        <v xml:space="preserve"> </v>
      </c>
      <c r="AQ15" s="326" t="s">
        <v>327</v>
      </c>
      <c r="AR15" s="438" t="s">
        <v>776</v>
      </c>
      <c r="AS15" s="513">
        <v>0.3</v>
      </c>
      <c r="AT15" s="539" t="s">
        <v>244</v>
      </c>
      <c r="AU15" s="429"/>
      <c r="AV15" s="326" t="s">
        <v>327</v>
      </c>
      <c r="AW15" s="443">
        <v>1</v>
      </c>
      <c r="AX15" s="444">
        <v>1</v>
      </c>
      <c r="AY15" s="431" t="s">
        <v>274</v>
      </c>
      <c r="AZ15" s="431"/>
      <c r="BA15" s="431">
        <f>BA34</f>
        <v>5</v>
      </c>
      <c r="BB15" s="431">
        <f>BB34</f>
        <v>5</v>
      </c>
      <c r="BC15" s="431" t="s">
        <v>320</v>
      </c>
      <c r="BD15" s="431">
        <f>BD34</f>
        <v>5</v>
      </c>
      <c r="BE15" s="431">
        <f>BE34</f>
        <v>2.5</v>
      </c>
      <c r="BF15" s="429" t="s">
        <v>320</v>
      </c>
      <c r="BG15" s="326" t="s">
        <v>327</v>
      </c>
      <c r="BH15" s="443">
        <v>1</v>
      </c>
      <c r="BI15" s="444">
        <v>1</v>
      </c>
      <c r="BJ15" s="431" t="s">
        <v>249</v>
      </c>
      <c r="BK15" s="431"/>
      <c r="BL15" s="431">
        <f>BL34</f>
        <v>3.7</v>
      </c>
      <c r="BM15" s="431">
        <f>BM34</f>
        <v>4.4400000000000004</v>
      </c>
      <c r="BN15" s="431" t="s">
        <v>320</v>
      </c>
      <c r="BO15" s="431">
        <f>BO34</f>
        <v>0</v>
      </c>
      <c r="BP15" s="431">
        <f>BP34</f>
        <v>0</v>
      </c>
      <c r="BQ15" s="429">
        <f>BQ34</f>
        <v>0</v>
      </c>
      <c r="BR15" s="326" t="s">
        <v>327</v>
      </c>
      <c r="BS15" s="449">
        <v>0.2</v>
      </c>
      <c r="BT15" s="450">
        <v>0.2</v>
      </c>
      <c r="BU15" s="450">
        <v>0</v>
      </c>
      <c r="BV15" s="450">
        <v>0</v>
      </c>
      <c r="BW15" s="450">
        <v>0</v>
      </c>
      <c r="BX15" s="450">
        <v>0.5</v>
      </c>
      <c r="BY15" s="450">
        <v>0</v>
      </c>
      <c r="BZ15" s="450">
        <v>0</v>
      </c>
      <c r="CA15" s="450">
        <v>0</v>
      </c>
      <c r="CB15" s="450">
        <v>0</v>
      </c>
      <c r="CC15" s="450">
        <v>0.3</v>
      </c>
      <c r="CD15" s="451">
        <v>0</v>
      </c>
      <c r="CE15" s="429" t="s">
        <v>1237</v>
      </c>
      <c r="CF15" s="326" t="s">
        <v>327</v>
      </c>
      <c r="CG15" s="456">
        <v>0</v>
      </c>
      <c r="CH15" s="457">
        <v>0.1</v>
      </c>
      <c r="CI15" s="457">
        <v>0</v>
      </c>
      <c r="CJ15" s="457">
        <v>0</v>
      </c>
      <c r="CK15" s="457">
        <v>0</v>
      </c>
      <c r="CL15" s="457">
        <v>0</v>
      </c>
      <c r="CM15" s="457">
        <v>0</v>
      </c>
      <c r="CN15" s="457">
        <v>0.9</v>
      </c>
      <c r="CO15" s="457">
        <v>0</v>
      </c>
      <c r="CP15" s="458">
        <v>0</v>
      </c>
      <c r="CQ15" s="429" t="s">
        <v>249</v>
      </c>
      <c r="CR15" s="326" t="s">
        <v>327</v>
      </c>
      <c r="CS15" s="459">
        <f t="shared" si="1"/>
        <v>350000</v>
      </c>
      <c r="CT15" s="460">
        <f t="shared" si="2"/>
        <v>350000</v>
      </c>
      <c r="CU15" s="460">
        <f t="shared" si="3"/>
        <v>0</v>
      </c>
      <c r="CV15" s="460">
        <f t="shared" si="4"/>
        <v>0</v>
      </c>
      <c r="CW15" s="460">
        <f t="shared" si="5"/>
        <v>0</v>
      </c>
      <c r="CX15" s="460">
        <f t="shared" si="6"/>
        <v>875000</v>
      </c>
      <c r="CY15" s="460">
        <f t="shared" si="7"/>
        <v>0</v>
      </c>
      <c r="CZ15" s="460">
        <f t="shared" si="8"/>
        <v>0</v>
      </c>
      <c r="DA15" s="460">
        <f t="shared" si="9"/>
        <v>0</v>
      </c>
      <c r="DB15" s="460">
        <f t="shared" si="10"/>
        <v>0</v>
      </c>
      <c r="DC15" s="460">
        <f t="shared" si="11"/>
        <v>525000</v>
      </c>
      <c r="DD15" s="460">
        <f t="shared" si="12"/>
        <v>0</v>
      </c>
      <c r="DE15" s="326"/>
      <c r="DF15" s="465">
        <f t="shared" si="13"/>
        <v>0</v>
      </c>
      <c r="DG15" s="466">
        <f t="shared" si="14"/>
        <v>175000</v>
      </c>
      <c r="DH15" s="466">
        <f t="shared" si="15"/>
        <v>0</v>
      </c>
      <c r="DI15" s="466">
        <f t="shared" si="16"/>
        <v>0</v>
      </c>
      <c r="DJ15" s="466">
        <f t="shared" si="17"/>
        <v>0</v>
      </c>
      <c r="DK15" s="466">
        <f t="shared" si="18"/>
        <v>0</v>
      </c>
      <c r="DL15" s="466">
        <f t="shared" si="19"/>
        <v>0</v>
      </c>
      <c r="DM15" s="466">
        <f t="shared" si="20"/>
        <v>1575000</v>
      </c>
      <c r="DN15" s="466">
        <f t="shared" si="21"/>
        <v>0</v>
      </c>
      <c r="DO15" s="467">
        <f t="shared" si="22"/>
        <v>0</v>
      </c>
      <c r="DP15" s="326" t="s">
        <v>327</v>
      </c>
      <c r="DQ15" s="459">
        <f t="shared" si="30"/>
        <v>244999.99999999997</v>
      </c>
      <c r="DR15" s="460">
        <f t="shared" si="31"/>
        <v>244999.99999999997</v>
      </c>
      <c r="DS15" s="460">
        <f t="shared" si="32"/>
        <v>0</v>
      </c>
      <c r="DT15" s="460">
        <f t="shared" si="33"/>
        <v>0</v>
      </c>
      <c r="DU15" s="460">
        <f t="shared" si="34"/>
        <v>0</v>
      </c>
      <c r="DV15" s="460">
        <f t="shared" si="35"/>
        <v>612500</v>
      </c>
      <c r="DW15" s="460">
        <f t="shared" si="36"/>
        <v>0</v>
      </c>
      <c r="DX15" s="460">
        <f t="shared" si="37"/>
        <v>0</v>
      </c>
      <c r="DY15" s="460">
        <f t="shared" si="38"/>
        <v>0</v>
      </c>
      <c r="DZ15" s="460">
        <f t="shared" si="39"/>
        <v>0</v>
      </c>
      <c r="EA15" s="460">
        <f t="shared" si="40"/>
        <v>367500</v>
      </c>
      <c r="EB15" s="460">
        <f t="shared" si="41"/>
        <v>0</v>
      </c>
      <c r="EC15" s="326"/>
      <c r="ED15" s="465">
        <f t="shared" si="42"/>
        <v>0</v>
      </c>
      <c r="EE15" s="466">
        <f t="shared" si="25"/>
        <v>122499.99999999999</v>
      </c>
      <c r="EF15" s="466">
        <f t="shared" si="25"/>
        <v>0</v>
      </c>
      <c r="EG15" s="466">
        <f t="shared" si="25"/>
        <v>0</v>
      </c>
      <c r="EH15" s="466">
        <f t="shared" si="25"/>
        <v>0</v>
      </c>
      <c r="EI15" s="466">
        <f t="shared" si="25"/>
        <v>0</v>
      </c>
      <c r="EJ15" s="466">
        <f t="shared" si="25"/>
        <v>0</v>
      </c>
      <c r="EK15" s="466">
        <f t="shared" si="25"/>
        <v>1102500</v>
      </c>
      <c r="EL15" s="466">
        <f t="shared" si="25"/>
        <v>0</v>
      </c>
      <c r="EM15" s="467">
        <f t="shared" si="25"/>
        <v>0</v>
      </c>
      <c r="EN15" s="326" t="s">
        <v>327</v>
      </c>
      <c r="EO15" s="459">
        <f t="shared" si="43"/>
        <v>105000</v>
      </c>
      <c r="EP15" s="460">
        <f t="shared" si="44"/>
        <v>105000</v>
      </c>
      <c r="EQ15" s="460">
        <f t="shared" si="45"/>
        <v>0</v>
      </c>
      <c r="ER15" s="460">
        <f t="shared" si="46"/>
        <v>0</v>
      </c>
      <c r="ES15" s="460">
        <f t="shared" si="47"/>
        <v>0</v>
      </c>
      <c r="ET15" s="460">
        <f t="shared" si="48"/>
        <v>262500</v>
      </c>
      <c r="EU15" s="460">
        <f t="shared" si="49"/>
        <v>0</v>
      </c>
      <c r="EV15" s="460">
        <f t="shared" si="50"/>
        <v>0</v>
      </c>
      <c r="EW15" s="460">
        <f t="shared" si="51"/>
        <v>0</v>
      </c>
      <c r="EX15" s="460">
        <f t="shared" si="52"/>
        <v>0</v>
      </c>
      <c r="EY15" s="460">
        <f t="shared" si="53"/>
        <v>157500</v>
      </c>
      <c r="EZ15" s="460">
        <f t="shared" si="54"/>
        <v>0</v>
      </c>
      <c r="FA15" s="326"/>
      <c r="FB15" s="465">
        <f t="shared" si="55"/>
        <v>0</v>
      </c>
      <c r="FC15" s="466">
        <f t="shared" si="28"/>
        <v>52500</v>
      </c>
      <c r="FD15" s="466">
        <f t="shared" si="28"/>
        <v>0</v>
      </c>
      <c r="FE15" s="466">
        <f t="shared" si="28"/>
        <v>0</v>
      </c>
      <c r="FF15" s="466">
        <f t="shared" si="28"/>
        <v>0</v>
      </c>
      <c r="FG15" s="466">
        <f t="shared" si="28"/>
        <v>0</v>
      </c>
      <c r="FH15" s="466">
        <f t="shared" si="28"/>
        <v>0</v>
      </c>
      <c r="FI15" s="466">
        <f t="shared" si="28"/>
        <v>472500</v>
      </c>
      <c r="FJ15" s="466">
        <f t="shared" si="28"/>
        <v>0</v>
      </c>
      <c r="FK15" s="467">
        <f t="shared" si="28"/>
        <v>0</v>
      </c>
    </row>
    <row r="16" spans="1:167" s="6" customFormat="1" ht="13.5" customHeight="1">
      <c r="A16" s="186" t="s">
        <v>152</v>
      </c>
      <c r="B16" s="186" t="s">
        <v>151</v>
      </c>
      <c r="C16" s="187" t="s">
        <v>153</v>
      </c>
      <c r="D16" s="188">
        <f t="shared" si="56"/>
        <v>11</v>
      </c>
      <c r="E16" s="327" t="s">
        <v>327</v>
      </c>
      <c r="F16" s="154"/>
      <c r="G16" s="154"/>
      <c r="H16" s="154">
        <v>4200000</v>
      </c>
      <c r="I16" s="154">
        <v>8400000</v>
      </c>
      <c r="J16" s="154"/>
      <c r="K16" s="154"/>
      <c r="L16" s="481" t="s">
        <v>896</v>
      </c>
      <c r="M16" s="478" t="s">
        <v>786</v>
      </c>
      <c r="N16" s="327" t="s">
        <v>327</v>
      </c>
      <c r="O16" s="432"/>
      <c r="P16" s="191"/>
      <c r="Q16" s="154">
        <f>H16</f>
        <v>4200000</v>
      </c>
      <c r="R16" s="154">
        <f>36300000*0.239</f>
        <v>8675700</v>
      </c>
      <c r="S16" s="154">
        <f>58000000*0.239</f>
        <v>13862000</v>
      </c>
      <c r="T16" s="189"/>
      <c r="U16" s="481" t="s">
        <v>843</v>
      </c>
      <c r="V16" s="478" t="s">
        <v>844</v>
      </c>
      <c r="W16" s="326" t="s">
        <v>327</v>
      </c>
      <c r="X16" s="435">
        <v>0</v>
      </c>
      <c r="Y16" s="189">
        <v>0</v>
      </c>
      <c r="Z16" s="189">
        <v>0</v>
      </c>
      <c r="AA16" s="189">
        <v>0</v>
      </c>
      <c r="AB16" s="189">
        <v>3700000</v>
      </c>
      <c r="AC16" s="189">
        <v>8800000</v>
      </c>
      <c r="AD16" s="189">
        <v>3700000</v>
      </c>
      <c r="AE16" s="189" t="s">
        <v>747</v>
      </c>
      <c r="AF16" s="197" t="s">
        <v>257</v>
      </c>
      <c r="AG16" s="326" t="s">
        <v>327</v>
      </c>
      <c r="AH16" s="435"/>
      <c r="AI16" s="189"/>
      <c r="AJ16" s="189"/>
      <c r="AK16" s="189">
        <f>R16</f>
        <v>8675700</v>
      </c>
      <c r="AL16" s="189"/>
      <c r="AM16" s="189"/>
      <c r="AN16" s="189">
        <f t="shared" si="0"/>
        <v>8675700</v>
      </c>
      <c r="AO16" s="189" t="str">
        <f>U16</f>
        <v>DOE estimate</v>
      </c>
      <c r="AP16" s="197" t="str">
        <f>V16</f>
        <v>Estimate based on ABI research report stating that 36.3m netbooks were shipped worldwide in 2009, with shipments expecting to reach 58m in 2010 (ABI Research &lt;http://www.abiresearch.com/press/3422-2009+Netbook+Shipments+Pass+Expectations,+58+Million+Forecast+for+2010&gt;). These figures were multiplied by the estimated US share of the global PC market, 23.9% (SeekingAlpha.com &lt;http://seekingalpha.com/article/225560-rising-global-notebook-sales-important-for-dell&gt;)</v>
      </c>
      <c r="AQ16" s="326" t="s">
        <v>327</v>
      </c>
      <c r="AR16" s="439" t="s">
        <v>776</v>
      </c>
      <c r="AS16" s="511">
        <v>0.55000000000000004</v>
      </c>
      <c r="AT16" s="193" t="s">
        <v>857</v>
      </c>
      <c r="AU16" s="197" t="s">
        <v>881</v>
      </c>
      <c r="AV16" s="326" t="s">
        <v>327</v>
      </c>
      <c r="AW16" s="445">
        <v>1</v>
      </c>
      <c r="AX16" s="196">
        <v>1</v>
      </c>
      <c r="AY16" s="193" t="s">
        <v>274</v>
      </c>
      <c r="AZ16" s="193"/>
      <c r="BA16" s="193">
        <v>20</v>
      </c>
      <c r="BB16" s="193">
        <v>40</v>
      </c>
      <c r="BC16" s="193" t="s">
        <v>286</v>
      </c>
      <c r="BD16" s="193"/>
      <c r="BE16" s="193"/>
      <c r="BF16" s="197"/>
      <c r="BG16" s="326" t="s">
        <v>327</v>
      </c>
      <c r="BH16" s="445">
        <v>1</v>
      </c>
      <c r="BI16" s="196">
        <v>1</v>
      </c>
      <c r="BJ16" s="193" t="s">
        <v>274</v>
      </c>
      <c r="BK16" s="193"/>
      <c r="BL16" s="193">
        <v>11.1</v>
      </c>
      <c r="BM16" s="193">
        <v>53.28</v>
      </c>
      <c r="BN16" s="193" t="s">
        <v>272</v>
      </c>
      <c r="BO16" s="193"/>
      <c r="BP16" s="193"/>
      <c r="BQ16" s="197"/>
      <c r="BR16" s="326" t="s">
        <v>327</v>
      </c>
      <c r="BS16" s="452">
        <v>1</v>
      </c>
      <c r="BT16" s="198">
        <v>0</v>
      </c>
      <c r="BU16" s="198">
        <v>0</v>
      </c>
      <c r="BV16" s="198">
        <v>1</v>
      </c>
      <c r="BW16" s="198">
        <v>0</v>
      </c>
      <c r="BX16" s="198">
        <v>0</v>
      </c>
      <c r="BY16" s="198">
        <v>0</v>
      </c>
      <c r="BZ16" s="198">
        <v>0</v>
      </c>
      <c r="CA16" s="198">
        <v>0</v>
      </c>
      <c r="CB16" s="198">
        <v>0</v>
      </c>
      <c r="CC16" s="198">
        <v>0</v>
      </c>
      <c r="CD16" s="199">
        <v>0</v>
      </c>
      <c r="CE16" s="197" t="s">
        <v>433</v>
      </c>
      <c r="CF16" s="326" t="s">
        <v>327</v>
      </c>
      <c r="CG16" s="379">
        <v>0</v>
      </c>
      <c r="CH16" s="380">
        <v>0</v>
      </c>
      <c r="CI16" s="380">
        <v>0</v>
      </c>
      <c r="CJ16" s="380">
        <v>1</v>
      </c>
      <c r="CK16" s="380">
        <v>0</v>
      </c>
      <c r="CL16" s="380">
        <v>0</v>
      </c>
      <c r="CM16" s="380">
        <v>0</v>
      </c>
      <c r="CN16" s="380">
        <v>0</v>
      </c>
      <c r="CO16" s="380">
        <v>0</v>
      </c>
      <c r="CP16" s="386">
        <v>0</v>
      </c>
      <c r="CQ16" s="197" t="s">
        <v>433</v>
      </c>
      <c r="CR16" s="326" t="s">
        <v>327</v>
      </c>
      <c r="CS16" s="200">
        <f t="shared" si="1"/>
        <v>8675700</v>
      </c>
      <c r="CT16" s="154">
        <f t="shared" si="2"/>
        <v>0</v>
      </c>
      <c r="CU16" s="154">
        <f t="shared" si="3"/>
        <v>0</v>
      </c>
      <c r="CV16" s="154">
        <f t="shared" si="4"/>
        <v>8675700</v>
      </c>
      <c r="CW16" s="154">
        <f t="shared" si="5"/>
        <v>0</v>
      </c>
      <c r="CX16" s="154">
        <f t="shared" si="6"/>
        <v>0</v>
      </c>
      <c r="CY16" s="154">
        <f t="shared" si="7"/>
        <v>0</v>
      </c>
      <c r="CZ16" s="154">
        <f t="shared" si="8"/>
        <v>0</v>
      </c>
      <c r="DA16" s="154">
        <f t="shared" si="9"/>
        <v>0</v>
      </c>
      <c r="DB16" s="154">
        <f t="shared" si="10"/>
        <v>0</v>
      </c>
      <c r="DC16" s="154">
        <f t="shared" si="11"/>
        <v>0</v>
      </c>
      <c r="DD16" s="154">
        <f t="shared" si="12"/>
        <v>0</v>
      </c>
      <c r="DE16" s="326"/>
      <c r="DF16" s="201">
        <f t="shared" si="13"/>
        <v>0</v>
      </c>
      <c r="DG16" s="202">
        <f t="shared" si="14"/>
        <v>0</v>
      </c>
      <c r="DH16" s="202">
        <f t="shared" si="15"/>
        <v>0</v>
      </c>
      <c r="DI16" s="202">
        <f t="shared" si="16"/>
        <v>8675700</v>
      </c>
      <c r="DJ16" s="202">
        <f t="shared" si="17"/>
        <v>0</v>
      </c>
      <c r="DK16" s="202">
        <f t="shared" si="18"/>
        <v>0</v>
      </c>
      <c r="DL16" s="202">
        <f t="shared" si="19"/>
        <v>0</v>
      </c>
      <c r="DM16" s="202">
        <f t="shared" si="20"/>
        <v>0</v>
      </c>
      <c r="DN16" s="202">
        <f t="shared" si="21"/>
        <v>0</v>
      </c>
      <c r="DO16" s="203">
        <f t="shared" si="22"/>
        <v>0</v>
      </c>
      <c r="DP16" s="326" t="s">
        <v>327</v>
      </c>
      <c r="DQ16" s="200">
        <f t="shared" si="30"/>
        <v>3904064.9999999995</v>
      </c>
      <c r="DR16" s="154">
        <f t="shared" si="31"/>
        <v>0</v>
      </c>
      <c r="DS16" s="154">
        <f t="shared" si="32"/>
        <v>0</v>
      </c>
      <c r="DT16" s="154">
        <f t="shared" si="33"/>
        <v>3904064.9999999995</v>
      </c>
      <c r="DU16" s="154">
        <f t="shared" si="34"/>
        <v>0</v>
      </c>
      <c r="DV16" s="154">
        <f t="shared" si="35"/>
        <v>0</v>
      </c>
      <c r="DW16" s="154">
        <f t="shared" si="36"/>
        <v>0</v>
      </c>
      <c r="DX16" s="154">
        <f t="shared" si="37"/>
        <v>0</v>
      </c>
      <c r="DY16" s="154">
        <f t="shared" si="38"/>
        <v>0</v>
      </c>
      <c r="DZ16" s="154">
        <f t="shared" si="39"/>
        <v>0</v>
      </c>
      <c r="EA16" s="154">
        <f t="shared" si="40"/>
        <v>0</v>
      </c>
      <c r="EB16" s="154">
        <f t="shared" si="41"/>
        <v>0</v>
      </c>
      <c r="EC16" s="326"/>
      <c r="ED16" s="201">
        <f t="shared" si="42"/>
        <v>0</v>
      </c>
      <c r="EE16" s="202">
        <f t="shared" si="25"/>
        <v>0</v>
      </c>
      <c r="EF16" s="202">
        <f t="shared" si="25"/>
        <v>0</v>
      </c>
      <c r="EG16" s="202">
        <f t="shared" si="25"/>
        <v>3904064.9999999995</v>
      </c>
      <c r="EH16" s="202">
        <f t="shared" si="25"/>
        <v>0</v>
      </c>
      <c r="EI16" s="202">
        <f t="shared" si="25"/>
        <v>0</v>
      </c>
      <c r="EJ16" s="202">
        <f t="shared" si="25"/>
        <v>0</v>
      </c>
      <c r="EK16" s="202">
        <f t="shared" si="25"/>
        <v>0</v>
      </c>
      <c r="EL16" s="202">
        <f t="shared" si="25"/>
        <v>0</v>
      </c>
      <c r="EM16" s="203">
        <f t="shared" si="25"/>
        <v>0</v>
      </c>
      <c r="EN16" s="326" t="s">
        <v>327</v>
      </c>
      <c r="EO16" s="200">
        <f t="shared" si="43"/>
        <v>4771635</v>
      </c>
      <c r="EP16" s="154">
        <f t="shared" si="44"/>
        <v>0</v>
      </c>
      <c r="EQ16" s="154">
        <f t="shared" si="45"/>
        <v>0</v>
      </c>
      <c r="ER16" s="154">
        <f t="shared" si="46"/>
        <v>4771635</v>
      </c>
      <c r="ES16" s="154">
        <f t="shared" si="47"/>
        <v>0</v>
      </c>
      <c r="ET16" s="154">
        <f t="shared" si="48"/>
        <v>0</v>
      </c>
      <c r="EU16" s="154">
        <f t="shared" si="49"/>
        <v>0</v>
      </c>
      <c r="EV16" s="154">
        <f t="shared" si="50"/>
        <v>0</v>
      </c>
      <c r="EW16" s="154">
        <f t="shared" si="51"/>
        <v>0</v>
      </c>
      <c r="EX16" s="154">
        <f t="shared" si="52"/>
        <v>0</v>
      </c>
      <c r="EY16" s="154">
        <f t="shared" si="53"/>
        <v>0</v>
      </c>
      <c r="EZ16" s="154">
        <f t="shared" si="54"/>
        <v>0</v>
      </c>
      <c r="FA16" s="326"/>
      <c r="FB16" s="201">
        <f t="shared" si="55"/>
        <v>0</v>
      </c>
      <c r="FC16" s="202">
        <f t="shared" si="28"/>
        <v>0</v>
      </c>
      <c r="FD16" s="202">
        <f t="shared" si="28"/>
        <v>0</v>
      </c>
      <c r="FE16" s="202">
        <f t="shared" si="28"/>
        <v>4771635</v>
      </c>
      <c r="FF16" s="202">
        <f t="shared" si="28"/>
        <v>0</v>
      </c>
      <c r="FG16" s="202">
        <f t="shared" si="28"/>
        <v>0</v>
      </c>
      <c r="FH16" s="202">
        <f t="shared" si="28"/>
        <v>0</v>
      </c>
      <c r="FI16" s="202">
        <f t="shared" si="28"/>
        <v>0</v>
      </c>
      <c r="FJ16" s="202">
        <f t="shared" si="28"/>
        <v>0</v>
      </c>
      <c r="FK16" s="203">
        <f t="shared" si="28"/>
        <v>0</v>
      </c>
    </row>
    <row r="17" spans="1:167" s="6" customFormat="1">
      <c r="A17" s="204" t="s">
        <v>152</v>
      </c>
      <c r="B17" s="204" t="s">
        <v>151</v>
      </c>
      <c r="C17" s="205" t="s">
        <v>154</v>
      </c>
      <c r="D17" s="206">
        <f t="shared" si="56"/>
        <v>12</v>
      </c>
      <c r="E17" s="327" t="s">
        <v>327</v>
      </c>
      <c r="F17" s="219">
        <v>11307000</v>
      </c>
      <c r="G17" s="219">
        <v>14000000</v>
      </c>
      <c r="H17" s="219">
        <v>19978000</v>
      </c>
      <c r="I17" s="219">
        <v>28046000</v>
      </c>
      <c r="J17" s="219">
        <v>37650000</v>
      </c>
      <c r="K17" s="219">
        <v>48359000</v>
      </c>
      <c r="L17" s="479" t="s">
        <v>895</v>
      </c>
      <c r="M17" s="480" t="s">
        <v>836</v>
      </c>
      <c r="N17" s="327" t="s">
        <v>327</v>
      </c>
      <c r="O17" s="433"/>
      <c r="P17" s="209"/>
      <c r="Q17" s="207">
        <f>H17-Q16</f>
        <v>15778000</v>
      </c>
      <c r="R17" s="207">
        <f>I17-R16</f>
        <v>19370300</v>
      </c>
      <c r="S17" s="207">
        <f>J17-(S16+(J18*0.75))</f>
        <v>21547375</v>
      </c>
      <c r="T17" s="207"/>
      <c r="U17" s="479" t="s">
        <v>843</v>
      </c>
      <c r="V17" s="480" t="s">
        <v>856</v>
      </c>
      <c r="W17" s="326" t="s">
        <v>327</v>
      </c>
      <c r="X17" s="436">
        <v>0</v>
      </c>
      <c r="Y17" s="207">
        <v>0</v>
      </c>
      <c r="Z17" s="207">
        <v>0</v>
      </c>
      <c r="AA17" s="207">
        <v>0</v>
      </c>
      <c r="AB17" s="207">
        <v>40300000</v>
      </c>
      <c r="AC17" s="207">
        <v>39900000</v>
      </c>
      <c r="AD17" s="207">
        <v>40300000</v>
      </c>
      <c r="AE17" s="207" t="s">
        <v>814</v>
      </c>
      <c r="AF17" s="215" t="s">
        <v>257</v>
      </c>
      <c r="AG17" s="326" t="s">
        <v>327</v>
      </c>
      <c r="AH17" s="436">
        <f t="shared" ref="AH17" si="81">F17</f>
        <v>11307000</v>
      </c>
      <c r="AI17" s="207">
        <f t="shared" ref="AI17" si="82">G17</f>
        <v>14000000</v>
      </c>
      <c r="AJ17" s="207">
        <f t="shared" ref="AJ17" si="83">H17</f>
        <v>19978000</v>
      </c>
      <c r="AK17" s="207">
        <f t="shared" ref="AK17" si="84">I17</f>
        <v>28046000</v>
      </c>
      <c r="AL17" s="207">
        <f t="shared" ref="AL17" si="85">J17</f>
        <v>37650000</v>
      </c>
      <c r="AM17" s="207">
        <f t="shared" ref="AM17" si="86">K17</f>
        <v>48359000</v>
      </c>
      <c r="AN17" s="207">
        <f t="shared" si="0"/>
        <v>28046000</v>
      </c>
      <c r="AO17" s="207" t="str">
        <f t="shared" ref="AO17" si="87">L17</f>
        <v>CEA 2010</v>
      </c>
      <c r="AP17" s="215" t="str">
        <f t="shared" ref="AP17" si="88">M17</f>
        <v>Sales to dealers of "Mobile Computing," including laptops, netbooks and tablets</v>
      </c>
      <c r="AQ17" s="326" t="s">
        <v>327</v>
      </c>
      <c r="AR17" s="441" t="s">
        <v>776</v>
      </c>
      <c r="AS17" s="512">
        <v>0.55000000000000004</v>
      </c>
      <c r="AT17" s="211" t="s">
        <v>857</v>
      </c>
      <c r="AU17" s="215" t="s">
        <v>858</v>
      </c>
      <c r="AV17" s="326" t="s">
        <v>327</v>
      </c>
      <c r="AW17" s="446">
        <v>1</v>
      </c>
      <c r="AX17" s="214">
        <v>1</v>
      </c>
      <c r="AY17" s="210" t="s">
        <v>274</v>
      </c>
      <c r="AZ17" s="211"/>
      <c r="BA17" s="211">
        <v>19</v>
      </c>
      <c r="BB17" s="211">
        <v>60</v>
      </c>
      <c r="BC17" s="211" t="s">
        <v>287</v>
      </c>
      <c r="BD17" s="211">
        <v>19</v>
      </c>
      <c r="BE17" s="211">
        <v>120</v>
      </c>
      <c r="BF17" s="215" t="s">
        <v>272</v>
      </c>
      <c r="BG17" s="326" t="s">
        <v>327</v>
      </c>
      <c r="BH17" s="446">
        <v>1</v>
      </c>
      <c r="BI17" s="214">
        <v>1</v>
      </c>
      <c r="BJ17" s="211" t="s">
        <v>274</v>
      </c>
      <c r="BK17" s="211"/>
      <c r="BL17" s="211">
        <v>11.1</v>
      </c>
      <c r="BM17" s="211">
        <v>57.72</v>
      </c>
      <c r="BN17" s="211" t="s">
        <v>272</v>
      </c>
      <c r="BO17" s="211"/>
      <c r="BP17" s="211"/>
      <c r="BQ17" s="215"/>
      <c r="BR17" s="326" t="s">
        <v>327</v>
      </c>
      <c r="BS17" s="453">
        <v>1</v>
      </c>
      <c r="BT17" s="216">
        <v>0</v>
      </c>
      <c r="BU17" s="216">
        <v>0</v>
      </c>
      <c r="BV17" s="216">
        <v>0.75</v>
      </c>
      <c r="BW17" s="216">
        <v>0.25</v>
      </c>
      <c r="BX17" s="216">
        <v>0</v>
      </c>
      <c r="BY17" s="216">
        <v>0</v>
      </c>
      <c r="BZ17" s="216">
        <v>0</v>
      </c>
      <c r="CA17" s="216">
        <v>0</v>
      </c>
      <c r="CB17" s="216">
        <v>0</v>
      </c>
      <c r="CC17" s="216">
        <v>0</v>
      </c>
      <c r="CD17" s="217">
        <v>0</v>
      </c>
      <c r="CE17" s="215" t="s">
        <v>435</v>
      </c>
      <c r="CF17" s="326" t="s">
        <v>327</v>
      </c>
      <c r="CG17" s="377">
        <v>0</v>
      </c>
      <c r="CH17" s="378">
        <v>0</v>
      </c>
      <c r="CI17" s="378">
        <v>0</v>
      </c>
      <c r="CJ17" s="378">
        <v>1</v>
      </c>
      <c r="CK17" s="378">
        <v>0</v>
      </c>
      <c r="CL17" s="378">
        <v>0</v>
      </c>
      <c r="CM17" s="378">
        <v>0</v>
      </c>
      <c r="CN17" s="378">
        <v>0</v>
      </c>
      <c r="CO17" s="378">
        <v>0</v>
      </c>
      <c r="CP17" s="385">
        <v>0</v>
      </c>
      <c r="CQ17" s="215" t="s">
        <v>435</v>
      </c>
      <c r="CR17" s="326" t="s">
        <v>327</v>
      </c>
      <c r="CS17" s="218">
        <f t="shared" si="1"/>
        <v>28046000</v>
      </c>
      <c r="CT17" s="219">
        <f t="shared" si="2"/>
        <v>0</v>
      </c>
      <c r="CU17" s="219">
        <f t="shared" si="3"/>
        <v>0</v>
      </c>
      <c r="CV17" s="219">
        <f t="shared" si="4"/>
        <v>21034500</v>
      </c>
      <c r="CW17" s="219">
        <f t="shared" si="5"/>
        <v>7011500</v>
      </c>
      <c r="CX17" s="219">
        <f t="shared" si="6"/>
        <v>0</v>
      </c>
      <c r="CY17" s="219">
        <f t="shared" si="7"/>
        <v>0</v>
      </c>
      <c r="CZ17" s="219">
        <f t="shared" si="8"/>
        <v>0</v>
      </c>
      <c r="DA17" s="219">
        <f t="shared" si="9"/>
        <v>0</v>
      </c>
      <c r="DB17" s="219">
        <f t="shared" si="10"/>
        <v>0</v>
      </c>
      <c r="DC17" s="219">
        <f t="shared" si="11"/>
        <v>0</v>
      </c>
      <c r="DD17" s="219">
        <f t="shared" si="12"/>
        <v>0</v>
      </c>
      <c r="DE17" s="326"/>
      <c r="DF17" s="220">
        <f t="shared" si="13"/>
        <v>0</v>
      </c>
      <c r="DG17" s="221">
        <f t="shared" si="14"/>
        <v>0</v>
      </c>
      <c r="DH17" s="221">
        <f t="shared" si="15"/>
        <v>0</v>
      </c>
      <c r="DI17" s="221">
        <f t="shared" si="16"/>
        <v>28046000</v>
      </c>
      <c r="DJ17" s="221">
        <f t="shared" si="17"/>
        <v>0</v>
      </c>
      <c r="DK17" s="221">
        <f t="shared" si="18"/>
        <v>0</v>
      </c>
      <c r="DL17" s="221">
        <f t="shared" si="19"/>
        <v>0</v>
      </c>
      <c r="DM17" s="221">
        <f t="shared" si="20"/>
        <v>0</v>
      </c>
      <c r="DN17" s="221">
        <f t="shared" si="21"/>
        <v>0</v>
      </c>
      <c r="DO17" s="222">
        <f t="shared" si="22"/>
        <v>0</v>
      </c>
      <c r="DP17" s="326" t="s">
        <v>327</v>
      </c>
      <c r="DQ17" s="218">
        <f t="shared" si="30"/>
        <v>12620699.999999998</v>
      </c>
      <c r="DR17" s="219">
        <f t="shared" si="31"/>
        <v>0</v>
      </c>
      <c r="DS17" s="219">
        <f t="shared" si="32"/>
        <v>0</v>
      </c>
      <c r="DT17" s="219">
        <f t="shared" si="33"/>
        <v>9465524.9999999981</v>
      </c>
      <c r="DU17" s="219">
        <f t="shared" si="34"/>
        <v>3155174.9999999995</v>
      </c>
      <c r="DV17" s="219">
        <f t="shared" si="35"/>
        <v>0</v>
      </c>
      <c r="DW17" s="219">
        <f t="shared" si="36"/>
        <v>0</v>
      </c>
      <c r="DX17" s="219">
        <f t="shared" si="37"/>
        <v>0</v>
      </c>
      <c r="DY17" s="219">
        <f t="shared" si="38"/>
        <v>0</v>
      </c>
      <c r="DZ17" s="219">
        <f t="shared" si="39"/>
        <v>0</v>
      </c>
      <c r="EA17" s="219">
        <f t="shared" si="40"/>
        <v>0</v>
      </c>
      <c r="EB17" s="219">
        <f t="shared" si="41"/>
        <v>0</v>
      </c>
      <c r="EC17" s="326"/>
      <c r="ED17" s="220">
        <f t="shared" si="42"/>
        <v>0</v>
      </c>
      <c r="EE17" s="221">
        <f t="shared" si="25"/>
        <v>0</v>
      </c>
      <c r="EF17" s="221">
        <f t="shared" si="25"/>
        <v>0</v>
      </c>
      <c r="EG17" s="221">
        <f t="shared" si="25"/>
        <v>12620699.999999998</v>
      </c>
      <c r="EH17" s="221">
        <f t="shared" si="25"/>
        <v>0</v>
      </c>
      <c r="EI17" s="221">
        <f t="shared" si="25"/>
        <v>0</v>
      </c>
      <c r="EJ17" s="221">
        <f t="shared" si="25"/>
        <v>0</v>
      </c>
      <c r="EK17" s="221">
        <f t="shared" si="25"/>
        <v>0</v>
      </c>
      <c r="EL17" s="221">
        <f t="shared" si="25"/>
        <v>0</v>
      </c>
      <c r="EM17" s="222">
        <f t="shared" si="25"/>
        <v>0</v>
      </c>
      <c r="EN17" s="326" t="s">
        <v>327</v>
      </c>
      <c r="EO17" s="218">
        <f t="shared" si="43"/>
        <v>15425300.000000002</v>
      </c>
      <c r="EP17" s="219">
        <f t="shared" si="44"/>
        <v>0</v>
      </c>
      <c r="EQ17" s="219">
        <f t="shared" si="45"/>
        <v>0</v>
      </c>
      <c r="ER17" s="219">
        <f t="shared" si="46"/>
        <v>11568975.000000002</v>
      </c>
      <c r="ES17" s="219">
        <f t="shared" si="47"/>
        <v>3856325.0000000005</v>
      </c>
      <c r="ET17" s="219">
        <f t="shared" si="48"/>
        <v>0</v>
      </c>
      <c r="EU17" s="219">
        <f t="shared" si="49"/>
        <v>0</v>
      </c>
      <c r="EV17" s="219">
        <f t="shared" si="50"/>
        <v>0</v>
      </c>
      <c r="EW17" s="219">
        <f t="shared" si="51"/>
        <v>0</v>
      </c>
      <c r="EX17" s="219">
        <f t="shared" si="52"/>
        <v>0</v>
      </c>
      <c r="EY17" s="219">
        <f t="shared" si="53"/>
        <v>0</v>
      </c>
      <c r="EZ17" s="219">
        <f t="shared" si="54"/>
        <v>0</v>
      </c>
      <c r="FA17" s="326"/>
      <c r="FB17" s="220">
        <f t="shared" si="55"/>
        <v>0</v>
      </c>
      <c r="FC17" s="221">
        <f t="shared" si="28"/>
        <v>0</v>
      </c>
      <c r="FD17" s="221">
        <f t="shared" si="28"/>
        <v>0</v>
      </c>
      <c r="FE17" s="221">
        <f t="shared" si="28"/>
        <v>15425300.000000002</v>
      </c>
      <c r="FF17" s="221">
        <f t="shared" si="28"/>
        <v>0</v>
      </c>
      <c r="FG17" s="221">
        <f t="shared" si="28"/>
        <v>0</v>
      </c>
      <c r="FH17" s="221">
        <f t="shared" si="28"/>
        <v>0</v>
      </c>
      <c r="FI17" s="221">
        <f t="shared" si="28"/>
        <v>0</v>
      </c>
      <c r="FJ17" s="221">
        <f t="shared" si="28"/>
        <v>0</v>
      </c>
      <c r="FK17" s="222">
        <f t="shared" si="28"/>
        <v>0</v>
      </c>
    </row>
    <row r="18" spans="1:167" s="6" customFormat="1">
      <c r="A18" s="186" t="s">
        <v>152</v>
      </c>
      <c r="B18" s="186" t="s">
        <v>151</v>
      </c>
      <c r="C18" s="187" t="s">
        <v>847</v>
      </c>
      <c r="D18" s="188">
        <f t="shared" si="56"/>
        <v>13</v>
      </c>
      <c r="E18" s="327"/>
      <c r="F18" s="154"/>
      <c r="G18" s="154"/>
      <c r="H18" s="154"/>
      <c r="I18" s="154"/>
      <c r="J18" s="154">
        <f>12500000*0.239</f>
        <v>2987500</v>
      </c>
      <c r="K18" s="154"/>
      <c r="L18" s="481" t="s">
        <v>843</v>
      </c>
      <c r="M18" s="518" t="s">
        <v>842</v>
      </c>
      <c r="N18" s="327" t="s">
        <v>327</v>
      </c>
      <c r="O18" s="432"/>
      <c r="P18" s="191"/>
      <c r="Q18" s="191"/>
      <c r="R18" s="154"/>
      <c r="S18" s="189">
        <f>19490000*0.61</f>
        <v>11888900</v>
      </c>
      <c r="T18" s="189">
        <v>33416410</v>
      </c>
      <c r="U18" s="189" t="s">
        <v>845</v>
      </c>
      <c r="V18" s="189" t="s">
        <v>846</v>
      </c>
      <c r="W18" s="326" t="s">
        <v>327</v>
      </c>
      <c r="X18" s="435"/>
      <c r="Y18" s="189"/>
      <c r="Z18" s="189"/>
      <c r="AA18" s="189"/>
      <c r="AB18" s="189"/>
      <c r="AC18" s="189"/>
      <c r="AD18" s="189"/>
      <c r="AE18" s="189"/>
      <c r="AF18" s="437"/>
      <c r="AG18" s="326"/>
      <c r="AH18" s="435"/>
      <c r="AI18" s="189"/>
      <c r="AJ18" s="189"/>
      <c r="AK18" s="189">
        <f>(AVERAGE(J18,S18)*0.991)</f>
        <v>7371256.2000000002</v>
      </c>
      <c r="AL18" s="189"/>
      <c r="AM18" s="189"/>
      <c r="AN18" s="189">
        <f t="shared" si="0"/>
        <v>7371256.2000000002</v>
      </c>
      <c r="AO18" s="189" t="s">
        <v>908</v>
      </c>
      <c r="AP18" s="437" t="s">
        <v>909</v>
      </c>
      <c r="AQ18" s="326" t="s">
        <v>327</v>
      </c>
      <c r="AR18" s="439" t="s">
        <v>776</v>
      </c>
      <c r="AS18" s="511">
        <v>0.1</v>
      </c>
      <c r="AT18" s="193" t="s">
        <v>882</v>
      </c>
      <c r="AU18" s="197" t="s">
        <v>859</v>
      </c>
      <c r="AV18" s="326" t="s">
        <v>327</v>
      </c>
      <c r="AW18" s="445">
        <v>0.95</v>
      </c>
      <c r="AX18" s="196">
        <v>1</v>
      </c>
      <c r="AY18" s="481" t="s">
        <v>272</v>
      </c>
      <c r="AZ18" s="193"/>
      <c r="BA18" s="193">
        <v>5</v>
      </c>
      <c r="BB18" s="193">
        <v>10</v>
      </c>
      <c r="BC18" s="193" t="s">
        <v>947</v>
      </c>
      <c r="BD18" s="193"/>
      <c r="BE18" s="193"/>
      <c r="BF18" s="197"/>
      <c r="BG18" s="326"/>
      <c r="BH18" s="445">
        <v>1</v>
      </c>
      <c r="BI18" s="196">
        <v>1</v>
      </c>
      <c r="BJ18" s="193" t="s">
        <v>272</v>
      </c>
      <c r="BK18" s="193"/>
      <c r="BL18" s="193">
        <v>3.7</v>
      </c>
      <c r="BM18" s="193">
        <v>25</v>
      </c>
      <c r="BN18" s="193" t="s">
        <v>947</v>
      </c>
      <c r="BO18" s="193"/>
      <c r="BP18" s="193"/>
      <c r="BQ18" s="197"/>
      <c r="BR18" s="326"/>
      <c r="BS18" s="452">
        <v>1</v>
      </c>
      <c r="BT18" s="198">
        <v>0</v>
      </c>
      <c r="BU18" s="198">
        <v>1</v>
      </c>
      <c r="BV18" s="198">
        <v>0</v>
      </c>
      <c r="BW18" s="198">
        <v>0</v>
      </c>
      <c r="BX18" s="198">
        <v>0</v>
      </c>
      <c r="BY18" s="198">
        <v>0</v>
      </c>
      <c r="BZ18" s="198">
        <v>0</v>
      </c>
      <c r="CA18" s="198">
        <v>0</v>
      </c>
      <c r="CB18" s="198">
        <v>0</v>
      </c>
      <c r="CC18" s="198">
        <v>0</v>
      </c>
      <c r="CD18" s="199">
        <v>0</v>
      </c>
      <c r="CE18" s="197" t="s">
        <v>272</v>
      </c>
      <c r="CF18" s="326"/>
      <c r="CG18" s="379">
        <v>0</v>
      </c>
      <c r="CH18" s="380">
        <v>1</v>
      </c>
      <c r="CI18" s="380">
        <v>0</v>
      </c>
      <c r="CJ18" s="380">
        <v>0</v>
      </c>
      <c r="CK18" s="380">
        <v>0</v>
      </c>
      <c r="CL18" s="380">
        <v>0</v>
      </c>
      <c r="CM18" s="380">
        <v>0</v>
      </c>
      <c r="CN18" s="380">
        <v>0</v>
      </c>
      <c r="CO18" s="380">
        <v>0</v>
      </c>
      <c r="CP18" s="386">
        <v>0</v>
      </c>
      <c r="CQ18" s="197" t="s">
        <v>272</v>
      </c>
      <c r="CR18" s="326"/>
      <c r="CS18" s="200">
        <f t="shared" si="1"/>
        <v>7002693.3899999997</v>
      </c>
      <c r="CT18" s="154">
        <f t="shared" si="2"/>
        <v>0</v>
      </c>
      <c r="CU18" s="154">
        <f t="shared" si="3"/>
        <v>7002693.3899999997</v>
      </c>
      <c r="CV18" s="154">
        <f t="shared" si="4"/>
        <v>0</v>
      </c>
      <c r="CW18" s="154">
        <f t="shared" si="5"/>
        <v>0</v>
      </c>
      <c r="CX18" s="154">
        <f t="shared" si="6"/>
        <v>0</v>
      </c>
      <c r="CY18" s="154">
        <f t="shared" si="7"/>
        <v>0</v>
      </c>
      <c r="CZ18" s="154">
        <f t="shared" si="8"/>
        <v>0</v>
      </c>
      <c r="DA18" s="154">
        <f t="shared" si="9"/>
        <v>0</v>
      </c>
      <c r="DB18" s="154">
        <f t="shared" si="10"/>
        <v>0</v>
      </c>
      <c r="DC18" s="154">
        <f t="shared" si="11"/>
        <v>0</v>
      </c>
      <c r="DD18" s="154">
        <f t="shared" si="12"/>
        <v>0</v>
      </c>
      <c r="DE18" s="326"/>
      <c r="DF18" s="201">
        <f t="shared" si="13"/>
        <v>0</v>
      </c>
      <c r="DG18" s="202">
        <f t="shared" si="14"/>
        <v>7371256.2000000002</v>
      </c>
      <c r="DH18" s="202">
        <f t="shared" si="15"/>
        <v>0</v>
      </c>
      <c r="DI18" s="202">
        <f t="shared" si="16"/>
        <v>0</v>
      </c>
      <c r="DJ18" s="202">
        <f t="shared" si="17"/>
        <v>0</v>
      </c>
      <c r="DK18" s="202">
        <f t="shared" si="18"/>
        <v>0</v>
      </c>
      <c r="DL18" s="202">
        <f t="shared" si="19"/>
        <v>0</v>
      </c>
      <c r="DM18" s="202">
        <f t="shared" si="20"/>
        <v>0</v>
      </c>
      <c r="DN18" s="202">
        <f t="shared" si="21"/>
        <v>0</v>
      </c>
      <c r="DO18" s="203">
        <f t="shared" si="22"/>
        <v>0</v>
      </c>
      <c r="DP18" s="326"/>
      <c r="DQ18" s="200">
        <f t="shared" si="30"/>
        <v>6302424.051</v>
      </c>
      <c r="DR18" s="154">
        <f t="shared" si="31"/>
        <v>0</v>
      </c>
      <c r="DS18" s="154">
        <f t="shared" si="32"/>
        <v>6302424.051</v>
      </c>
      <c r="DT18" s="154">
        <f t="shared" si="33"/>
        <v>0</v>
      </c>
      <c r="DU18" s="154">
        <f t="shared" si="34"/>
        <v>0</v>
      </c>
      <c r="DV18" s="154">
        <f t="shared" si="35"/>
        <v>0</v>
      </c>
      <c r="DW18" s="154">
        <f t="shared" si="36"/>
        <v>0</v>
      </c>
      <c r="DX18" s="154">
        <f t="shared" si="37"/>
        <v>0</v>
      </c>
      <c r="DY18" s="154">
        <f t="shared" si="38"/>
        <v>0</v>
      </c>
      <c r="DZ18" s="154">
        <f t="shared" si="39"/>
        <v>0</v>
      </c>
      <c r="EA18" s="154">
        <f t="shared" si="40"/>
        <v>0</v>
      </c>
      <c r="EB18" s="154">
        <f t="shared" si="41"/>
        <v>0</v>
      </c>
      <c r="EC18" s="326"/>
      <c r="ED18" s="201">
        <f t="shared" si="42"/>
        <v>0</v>
      </c>
      <c r="EE18" s="202">
        <f t="shared" si="25"/>
        <v>6634130.5800000001</v>
      </c>
      <c r="EF18" s="202">
        <f t="shared" si="25"/>
        <v>0</v>
      </c>
      <c r="EG18" s="202">
        <f t="shared" si="25"/>
        <v>0</v>
      </c>
      <c r="EH18" s="202">
        <f t="shared" si="25"/>
        <v>0</v>
      </c>
      <c r="EI18" s="202">
        <f t="shared" si="25"/>
        <v>0</v>
      </c>
      <c r="EJ18" s="202">
        <f t="shared" si="25"/>
        <v>0</v>
      </c>
      <c r="EK18" s="202">
        <f t="shared" si="25"/>
        <v>0</v>
      </c>
      <c r="EL18" s="202">
        <f t="shared" si="25"/>
        <v>0</v>
      </c>
      <c r="EM18" s="203">
        <f t="shared" si="25"/>
        <v>0</v>
      </c>
      <c r="EN18" s="326"/>
      <c r="EO18" s="200">
        <f t="shared" si="43"/>
        <v>700269.33900000004</v>
      </c>
      <c r="EP18" s="154">
        <f t="shared" si="44"/>
        <v>0</v>
      </c>
      <c r="EQ18" s="154">
        <f t="shared" si="45"/>
        <v>700269.33900000004</v>
      </c>
      <c r="ER18" s="154">
        <f t="shared" si="46"/>
        <v>0</v>
      </c>
      <c r="ES18" s="154">
        <f t="shared" si="47"/>
        <v>0</v>
      </c>
      <c r="ET18" s="154">
        <f t="shared" si="48"/>
        <v>0</v>
      </c>
      <c r="EU18" s="154">
        <f t="shared" si="49"/>
        <v>0</v>
      </c>
      <c r="EV18" s="154">
        <f t="shared" si="50"/>
        <v>0</v>
      </c>
      <c r="EW18" s="154">
        <f t="shared" si="51"/>
        <v>0</v>
      </c>
      <c r="EX18" s="154">
        <f t="shared" si="52"/>
        <v>0</v>
      </c>
      <c r="EY18" s="154">
        <f t="shared" si="53"/>
        <v>0</v>
      </c>
      <c r="EZ18" s="154">
        <f t="shared" si="54"/>
        <v>0</v>
      </c>
      <c r="FA18" s="326"/>
      <c r="FB18" s="201">
        <f t="shared" si="55"/>
        <v>0</v>
      </c>
      <c r="FC18" s="202">
        <f t="shared" si="28"/>
        <v>737125.62000000011</v>
      </c>
      <c r="FD18" s="202">
        <f t="shared" si="28"/>
        <v>0</v>
      </c>
      <c r="FE18" s="202">
        <f t="shared" si="28"/>
        <v>0</v>
      </c>
      <c r="FF18" s="202">
        <f t="shared" si="28"/>
        <v>0</v>
      </c>
      <c r="FG18" s="202">
        <f t="shared" si="28"/>
        <v>0</v>
      </c>
      <c r="FH18" s="202">
        <f t="shared" si="28"/>
        <v>0</v>
      </c>
      <c r="FI18" s="202">
        <f t="shared" si="28"/>
        <v>0</v>
      </c>
      <c r="FJ18" s="202">
        <f t="shared" si="28"/>
        <v>0</v>
      </c>
      <c r="FK18" s="203">
        <f t="shared" si="28"/>
        <v>0</v>
      </c>
    </row>
    <row r="19" spans="1:167" s="6" customFormat="1">
      <c r="A19" s="204" t="s">
        <v>152</v>
      </c>
      <c r="B19" s="204" t="s">
        <v>155</v>
      </c>
      <c r="C19" s="205" t="s">
        <v>146</v>
      </c>
      <c r="D19" s="206">
        <f t="shared" si="56"/>
        <v>14</v>
      </c>
      <c r="E19" s="327" t="s">
        <v>327</v>
      </c>
      <c r="F19" s="219"/>
      <c r="G19" s="219"/>
      <c r="H19" s="219"/>
      <c r="I19" s="219"/>
      <c r="J19" s="219"/>
      <c r="K19" s="219"/>
      <c r="L19" s="479"/>
      <c r="M19" s="480"/>
      <c r="N19" s="327" t="s">
        <v>327</v>
      </c>
      <c r="O19" s="433"/>
      <c r="P19" s="209"/>
      <c r="Q19" s="209"/>
      <c r="R19" s="209"/>
      <c r="S19" s="207"/>
      <c r="T19" s="207"/>
      <c r="U19" s="211"/>
      <c r="V19" s="215"/>
      <c r="W19" s="326" t="s">
        <v>327</v>
      </c>
      <c r="X19" s="436">
        <v>0</v>
      </c>
      <c r="Y19" s="207">
        <v>10528000</v>
      </c>
      <c r="Z19" s="207">
        <v>13109000</v>
      </c>
      <c r="AA19" s="207">
        <v>12000000</v>
      </c>
      <c r="AB19" s="207">
        <v>10211000</v>
      </c>
      <c r="AC19" s="207"/>
      <c r="AD19" s="207">
        <v>10211000</v>
      </c>
      <c r="AE19" s="207" t="s">
        <v>638</v>
      </c>
      <c r="AF19" s="215" t="s">
        <v>170</v>
      </c>
      <c r="AG19" s="326" t="s">
        <v>327</v>
      </c>
      <c r="AH19" s="436">
        <f>Z19</f>
        <v>13109000</v>
      </c>
      <c r="AI19" s="207">
        <f t="shared" ref="AI19:AJ19" si="89">AA19</f>
        <v>12000000</v>
      </c>
      <c r="AJ19" s="207">
        <f t="shared" si="89"/>
        <v>10211000</v>
      </c>
      <c r="AK19" s="207">
        <f>AJ19*1.009</f>
        <v>10302898.999999998</v>
      </c>
      <c r="AL19" s="207"/>
      <c r="AM19" s="207"/>
      <c r="AN19" s="207">
        <f t="shared" si="0"/>
        <v>10302898.999999998</v>
      </c>
      <c r="AO19" s="207" t="str">
        <f t="shared" ref="AO19:AP19" si="90">AE19</f>
        <v xml:space="preserve">Consumer Electronics Marketers of Canada. Consumer Electronics Market Trends and Forecast. March 2009. Electro-Federation Canada: Toronto, ON. </v>
      </c>
      <c r="AP19" s="541" t="str">
        <f t="shared" si="90"/>
        <v>Shipments of desktop computers used as proxy</v>
      </c>
      <c r="AQ19" s="326" t="s">
        <v>327</v>
      </c>
      <c r="AR19" s="441" t="s">
        <v>776</v>
      </c>
      <c r="AS19" s="512">
        <v>0.67</v>
      </c>
      <c r="AT19" s="211" t="s">
        <v>244</v>
      </c>
      <c r="AU19" s="215" t="s">
        <v>885</v>
      </c>
      <c r="AV19" s="326" t="s">
        <v>327</v>
      </c>
      <c r="AW19" s="446">
        <v>0.38</v>
      </c>
      <c r="AX19" s="214">
        <v>1</v>
      </c>
      <c r="AY19" s="211" t="s">
        <v>274</v>
      </c>
      <c r="AZ19" s="211"/>
      <c r="BA19" s="211">
        <v>12</v>
      </c>
      <c r="BB19" s="211">
        <v>21.6</v>
      </c>
      <c r="BC19" s="211" t="s">
        <v>294</v>
      </c>
      <c r="BD19" s="211"/>
      <c r="BE19" s="211"/>
      <c r="BF19" s="215"/>
      <c r="BG19" s="326" t="s">
        <v>327</v>
      </c>
      <c r="BH19" s="446">
        <v>0</v>
      </c>
      <c r="BI19" s="214">
        <v>0</v>
      </c>
      <c r="BJ19" s="211" t="s">
        <v>400</v>
      </c>
      <c r="BK19" s="211"/>
      <c r="BL19" s="211" t="s">
        <v>283</v>
      </c>
      <c r="BM19" s="211" t="s">
        <v>283</v>
      </c>
      <c r="BN19" s="211" t="s">
        <v>272</v>
      </c>
      <c r="BO19" s="211"/>
      <c r="BP19" s="211"/>
      <c r="BQ19" s="215"/>
      <c r="BR19" s="326" t="s">
        <v>327</v>
      </c>
      <c r="BS19" s="453">
        <v>1</v>
      </c>
      <c r="BT19" s="216">
        <v>0</v>
      </c>
      <c r="BU19" s="216">
        <v>1</v>
      </c>
      <c r="BV19" s="216">
        <v>0</v>
      </c>
      <c r="BW19" s="216">
        <v>0</v>
      </c>
      <c r="BX19" s="216">
        <v>0</v>
      </c>
      <c r="BY19" s="216">
        <v>0</v>
      </c>
      <c r="BZ19" s="216">
        <v>0</v>
      </c>
      <c r="CA19" s="216">
        <v>0</v>
      </c>
      <c r="CB19" s="216">
        <v>0</v>
      </c>
      <c r="CC19" s="216">
        <v>0</v>
      </c>
      <c r="CD19" s="217">
        <v>0</v>
      </c>
      <c r="CE19" s="215" t="s">
        <v>274</v>
      </c>
      <c r="CF19" s="326" t="s">
        <v>327</v>
      </c>
      <c r="CG19" s="377">
        <v>0</v>
      </c>
      <c r="CH19" s="378">
        <v>0</v>
      </c>
      <c r="CI19" s="378">
        <v>0</v>
      </c>
      <c r="CJ19" s="378">
        <v>0</v>
      </c>
      <c r="CK19" s="378">
        <v>0</v>
      </c>
      <c r="CL19" s="378">
        <v>0</v>
      </c>
      <c r="CM19" s="378">
        <v>0</v>
      </c>
      <c r="CN19" s="378">
        <v>0</v>
      </c>
      <c r="CO19" s="378">
        <v>0</v>
      </c>
      <c r="CP19" s="385">
        <v>0</v>
      </c>
      <c r="CQ19" s="215" t="s">
        <v>274</v>
      </c>
      <c r="CR19" s="326" t="s">
        <v>327</v>
      </c>
      <c r="CS19" s="218">
        <f t="shared" si="1"/>
        <v>3915101.6199999992</v>
      </c>
      <c r="CT19" s="219">
        <f t="shared" si="2"/>
        <v>0</v>
      </c>
      <c r="CU19" s="219">
        <f t="shared" si="3"/>
        <v>3915101.6199999992</v>
      </c>
      <c r="CV19" s="219">
        <f t="shared" si="4"/>
        <v>0</v>
      </c>
      <c r="CW19" s="219">
        <f t="shared" si="5"/>
        <v>0</v>
      </c>
      <c r="CX19" s="219">
        <f t="shared" si="6"/>
        <v>0</v>
      </c>
      <c r="CY19" s="219">
        <f t="shared" si="7"/>
        <v>0</v>
      </c>
      <c r="CZ19" s="219">
        <f t="shared" si="8"/>
        <v>0</v>
      </c>
      <c r="DA19" s="219">
        <f t="shared" si="9"/>
        <v>0</v>
      </c>
      <c r="DB19" s="219">
        <f t="shared" si="10"/>
        <v>0</v>
      </c>
      <c r="DC19" s="219">
        <f t="shared" si="11"/>
        <v>0</v>
      </c>
      <c r="DD19" s="219">
        <f t="shared" si="12"/>
        <v>0</v>
      </c>
      <c r="DE19" s="326"/>
      <c r="DF19" s="220">
        <f t="shared" si="13"/>
        <v>0</v>
      </c>
      <c r="DG19" s="221">
        <f t="shared" si="14"/>
        <v>0</v>
      </c>
      <c r="DH19" s="221">
        <f t="shared" si="15"/>
        <v>0</v>
      </c>
      <c r="DI19" s="221">
        <f t="shared" si="16"/>
        <v>0</v>
      </c>
      <c r="DJ19" s="221">
        <f t="shared" si="17"/>
        <v>0</v>
      </c>
      <c r="DK19" s="221">
        <f t="shared" si="18"/>
        <v>0</v>
      </c>
      <c r="DL19" s="221">
        <f t="shared" si="19"/>
        <v>0</v>
      </c>
      <c r="DM19" s="221">
        <f t="shared" si="20"/>
        <v>0</v>
      </c>
      <c r="DN19" s="221">
        <f t="shared" si="21"/>
        <v>0</v>
      </c>
      <c r="DO19" s="222">
        <f t="shared" si="22"/>
        <v>0</v>
      </c>
      <c r="DP19" s="326" t="s">
        <v>327</v>
      </c>
      <c r="DQ19" s="218">
        <f t="shared" si="30"/>
        <v>1291983.5345999997</v>
      </c>
      <c r="DR19" s="219">
        <f t="shared" si="31"/>
        <v>0</v>
      </c>
      <c r="DS19" s="219">
        <f t="shared" si="32"/>
        <v>1291983.5345999997</v>
      </c>
      <c r="DT19" s="219">
        <f t="shared" si="33"/>
        <v>0</v>
      </c>
      <c r="DU19" s="219">
        <f t="shared" si="34"/>
        <v>0</v>
      </c>
      <c r="DV19" s="219">
        <f t="shared" si="35"/>
        <v>0</v>
      </c>
      <c r="DW19" s="219">
        <f t="shared" si="36"/>
        <v>0</v>
      </c>
      <c r="DX19" s="219">
        <f t="shared" si="37"/>
        <v>0</v>
      </c>
      <c r="DY19" s="219">
        <f t="shared" si="38"/>
        <v>0</v>
      </c>
      <c r="DZ19" s="219">
        <f t="shared" si="39"/>
        <v>0</v>
      </c>
      <c r="EA19" s="219">
        <f t="shared" si="40"/>
        <v>0</v>
      </c>
      <c r="EB19" s="219">
        <f t="shared" si="41"/>
        <v>0</v>
      </c>
      <c r="EC19" s="326"/>
      <c r="ED19" s="220">
        <f t="shared" si="42"/>
        <v>0</v>
      </c>
      <c r="EE19" s="221">
        <f t="shared" si="25"/>
        <v>0</v>
      </c>
      <c r="EF19" s="221">
        <f t="shared" si="25"/>
        <v>0</v>
      </c>
      <c r="EG19" s="221">
        <f t="shared" si="25"/>
        <v>0</v>
      </c>
      <c r="EH19" s="221">
        <f t="shared" si="25"/>
        <v>0</v>
      </c>
      <c r="EI19" s="221">
        <f t="shared" si="25"/>
        <v>0</v>
      </c>
      <c r="EJ19" s="221">
        <f t="shared" si="25"/>
        <v>0</v>
      </c>
      <c r="EK19" s="221">
        <f t="shared" si="25"/>
        <v>0</v>
      </c>
      <c r="EL19" s="221">
        <f t="shared" si="25"/>
        <v>0</v>
      </c>
      <c r="EM19" s="222">
        <f t="shared" si="25"/>
        <v>0</v>
      </c>
      <c r="EN19" s="326" t="s">
        <v>327</v>
      </c>
      <c r="EO19" s="218">
        <f t="shared" si="43"/>
        <v>2623118.0853999997</v>
      </c>
      <c r="EP19" s="219">
        <f t="shared" si="44"/>
        <v>0</v>
      </c>
      <c r="EQ19" s="219">
        <f t="shared" si="45"/>
        <v>2623118.0853999997</v>
      </c>
      <c r="ER19" s="219">
        <f t="shared" si="46"/>
        <v>0</v>
      </c>
      <c r="ES19" s="219">
        <f t="shared" si="47"/>
        <v>0</v>
      </c>
      <c r="ET19" s="219">
        <f t="shared" si="48"/>
        <v>0</v>
      </c>
      <c r="EU19" s="219">
        <f t="shared" si="49"/>
        <v>0</v>
      </c>
      <c r="EV19" s="219">
        <f t="shared" si="50"/>
        <v>0</v>
      </c>
      <c r="EW19" s="219">
        <f t="shared" si="51"/>
        <v>0</v>
      </c>
      <c r="EX19" s="219">
        <f t="shared" si="52"/>
        <v>0</v>
      </c>
      <c r="EY19" s="219">
        <f t="shared" si="53"/>
        <v>0</v>
      </c>
      <c r="EZ19" s="219">
        <f t="shared" si="54"/>
        <v>0</v>
      </c>
      <c r="FA19" s="326"/>
      <c r="FB19" s="220">
        <f t="shared" si="55"/>
        <v>0</v>
      </c>
      <c r="FC19" s="221">
        <f t="shared" si="28"/>
        <v>0</v>
      </c>
      <c r="FD19" s="221">
        <f t="shared" si="28"/>
        <v>0</v>
      </c>
      <c r="FE19" s="221">
        <f t="shared" si="28"/>
        <v>0</v>
      </c>
      <c r="FF19" s="221">
        <f t="shared" si="28"/>
        <v>0</v>
      </c>
      <c r="FG19" s="221">
        <f t="shared" si="28"/>
        <v>0</v>
      </c>
      <c r="FH19" s="221">
        <f t="shared" si="28"/>
        <v>0</v>
      </c>
      <c r="FI19" s="221">
        <f t="shared" si="28"/>
        <v>0</v>
      </c>
      <c r="FJ19" s="221">
        <f t="shared" si="28"/>
        <v>0</v>
      </c>
      <c r="FK19" s="222">
        <f t="shared" si="28"/>
        <v>0</v>
      </c>
    </row>
    <row r="20" spans="1:167" s="6" customFormat="1">
      <c r="A20" s="186" t="s">
        <v>152</v>
      </c>
      <c r="B20" s="186" t="s">
        <v>155</v>
      </c>
      <c r="C20" s="187" t="s">
        <v>145</v>
      </c>
      <c r="D20" s="188">
        <f t="shared" si="56"/>
        <v>15</v>
      </c>
      <c r="E20" s="327" t="s">
        <v>327</v>
      </c>
      <c r="F20" s="154"/>
      <c r="G20" s="154"/>
      <c r="H20" s="154"/>
      <c r="I20" s="154">
        <f>AB20*1.2</f>
        <v>773058</v>
      </c>
      <c r="J20" s="154"/>
      <c r="K20" s="154"/>
      <c r="L20" s="481" t="s">
        <v>888</v>
      </c>
      <c r="M20" s="478" t="s">
        <v>891</v>
      </c>
      <c r="N20" s="327" t="s">
        <v>327</v>
      </c>
      <c r="O20" s="432"/>
      <c r="P20" s="191"/>
      <c r="Q20" s="191"/>
      <c r="R20" s="191"/>
      <c r="S20" s="189"/>
      <c r="T20" s="189"/>
      <c r="U20" s="193"/>
      <c r="V20" s="197"/>
      <c r="W20" s="326" t="s">
        <v>327</v>
      </c>
      <c r="X20" s="435">
        <v>0</v>
      </c>
      <c r="Y20" s="189">
        <v>0</v>
      </c>
      <c r="Z20" s="189">
        <v>0</v>
      </c>
      <c r="AA20" s="189">
        <v>0</v>
      </c>
      <c r="AB20" s="189">
        <v>644215</v>
      </c>
      <c r="AC20" s="189"/>
      <c r="AD20" s="189">
        <v>644215</v>
      </c>
      <c r="AE20" s="189" t="s">
        <v>258</v>
      </c>
      <c r="AF20" s="197" t="s">
        <v>327</v>
      </c>
      <c r="AG20" s="326" t="s">
        <v>327</v>
      </c>
      <c r="AH20" s="435"/>
      <c r="AI20" s="189"/>
      <c r="AJ20" s="189"/>
      <c r="AK20" s="189">
        <f>I20</f>
        <v>773058</v>
      </c>
      <c r="AL20" s="189"/>
      <c r="AM20" s="189"/>
      <c r="AN20" s="189">
        <f t="shared" si="0"/>
        <v>773058</v>
      </c>
      <c r="AO20" s="189" t="str">
        <f>L20</f>
        <v>iSuppli 2009a</v>
      </c>
      <c r="AP20" s="197" t="str">
        <f>M20</f>
        <v>iSuppli forecasts 20% growth over 2008</v>
      </c>
      <c r="AQ20" s="326" t="s">
        <v>327</v>
      </c>
      <c r="AR20" s="439" t="s">
        <v>776</v>
      </c>
      <c r="AS20" s="511">
        <v>0.36699999999999999</v>
      </c>
      <c r="AT20" s="193" t="s">
        <v>244</v>
      </c>
      <c r="AU20" s="197" t="s">
        <v>883</v>
      </c>
      <c r="AV20" s="326" t="s">
        <v>327</v>
      </c>
      <c r="AW20" s="445">
        <v>0.57999999999999996</v>
      </c>
      <c r="AX20" s="196">
        <v>1</v>
      </c>
      <c r="AY20" s="193" t="s">
        <v>382</v>
      </c>
      <c r="AZ20" s="193"/>
      <c r="BA20" s="193">
        <v>12</v>
      </c>
      <c r="BB20" s="193">
        <v>24</v>
      </c>
      <c r="BC20" s="193" t="s">
        <v>294</v>
      </c>
      <c r="BD20" s="193"/>
      <c r="BE20" s="193"/>
      <c r="BF20" s="197"/>
      <c r="BG20" s="326" t="s">
        <v>327</v>
      </c>
      <c r="BH20" s="445">
        <v>0</v>
      </c>
      <c r="BI20" s="196">
        <v>0</v>
      </c>
      <c r="BJ20" s="193" t="s">
        <v>400</v>
      </c>
      <c r="BK20" s="193"/>
      <c r="BL20" s="193" t="s">
        <v>283</v>
      </c>
      <c r="BM20" s="193" t="s">
        <v>283</v>
      </c>
      <c r="BN20" s="193" t="s">
        <v>283</v>
      </c>
      <c r="BO20" s="193"/>
      <c r="BP20" s="193"/>
      <c r="BQ20" s="197"/>
      <c r="BR20" s="326" t="s">
        <v>327</v>
      </c>
      <c r="BS20" s="452">
        <v>1</v>
      </c>
      <c r="BT20" s="198">
        <v>0</v>
      </c>
      <c r="BU20" s="198">
        <v>1</v>
      </c>
      <c r="BV20" s="198">
        <v>0</v>
      </c>
      <c r="BW20" s="198">
        <v>0</v>
      </c>
      <c r="BX20" s="198">
        <v>0</v>
      </c>
      <c r="BY20" s="198">
        <v>0</v>
      </c>
      <c r="BZ20" s="198">
        <v>0</v>
      </c>
      <c r="CA20" s="198">
        <v>0</v>
      </c>
      <c r="CB20" s="198">
        <v>0</v>
      </c>
      <c r="CC20" s="198">
        <v>0</v>
      </c>
      <c r="CD20" s="199">
        <v>0</v>
      </c>
      <c r="CE20" s="197" t="s">
        <v>274</v>
      </c>
      <c r="CF20" s="326" t="s">
        <v>327</v>
      </c>
      <c r="CG20" s="379">
        <v>0</v>
      </c>
      <c r="CH20" s="380">
        <v>0</v>
      </c>
      <c r="CI20" s="380">
        <v>0</v>
      </c>
      <c r="CJ20" s="380">
        <v>0</v>
      </c>
      <c r="CK20" s="380">
        <v>0</v>
      </c>
      <c r="CL20" s="380">
        <v>0</v>
      </c>
      <c r="CM20" s="380">
        <v>0</v>
      </c>
      <c r="CN20" s="380">
        <v>0</v>
      </c>
      <c r="CO20" s="380">
        <v>0</v>
      </c>
      <c r="CP20" s="386">
        <v>0</v>
      </c>
      <c r="CQ20" s="197" t="s">
        <v>274</v>
      </c>
      <c r="CR20" s="326" t="s">
        <v>327</v>
      </c>
      <c r="CS20" s="200">
        <f t="shared" si="1"/>
        <v>448373.63999999996</v>
      </c>
      <c r="CT20" s="154">
        <f t="shared" si="2"/>
        <v>0</v>
      </c>
      <c r="CU20" s="154">
        <f t="shared" si="3"/>
        <v>448373.63999999996</v>
      </c>
      <c r="CV20" s="154">
        <f t="shared" si="4"/>
        <v>0</v>
      </c>
      <c r="CW20" s="154">
        <f t="shared" si="5"/>
        <v>0</v>
      </c>
      <c r="CX20" s="154">
        <f t="shared" si="6"/>
        <v>0</v>
      </c>
      <c r="CY20" s="154">
        <f t="shared" si="7"/>
        <v>0</v>
      </c>
      <c r="CZ20" s="154">
        <f t="shared" si="8"/>
        <v>0</v>
      </c>
      <c r="DA20" s="154">
        <f t="shared" si="9"/>
        <v>0</v>
      </c>
      <c r="DB20" s="154">
        <f t="shared" si="10"/>
        <v>0</v>
      </c>
      <c r="DC20" s="154">
        <f t="shared" si="11"/>
        <v>0</v>
      </c>
      <c r="DD20" s="154">
        <f t="shared" si="12"/>
        <v>0</v>
      </c>
      <c r="DE20" s="326"/>
      <c r="DF20" s="201">
        <f t="shared" si="13"/>
        <v>0</v>
      </c>
      <c r="DG20" s="202">
        <f t="shared" si="14"/>
        <v>0</v>
      </c>
      <c r="DH20" s="202">
        <f t="shared" si="15"/>
        <v>0</v>
      </c>
      <c r="DI20" s="202">
        <f t="shared" si="16"/>
        <v>0</v>
      </c>
      <c r="DJ20" s="202">
        <f t="shared" si="17"/>
        <v>0</v>
      </c>
      <c r="DK20" s="202">
        <f t="shared" si="18"/>
        <v>0</v>
      </c>
      <c r="DL20" s="202">
        <f t="shared" si="19"/>
        <v>0</v>
      </c>
      <c r="DM20" s="202">
        <f t="shared" si="20"/>
        <v>0</v>
      </c>
      <c r="DN20" s="202">
        <f t="shared" si="21"/>
        <v>0</v>
      </c>
      <c r="DO20" s="203">
        <f t="shared" si="22"/>
        <v>0</v>
      </c>
      <c r="DP20" s="326" t="s">
        <v>327</v>
      </c>
      <c r="DQ20" s="200">
        <f t="shared" si="30"/>
        <v>283820.51411999995</v>
      </c>
      <c r="DR20" s="154">
        <f t="shared" si="31"/>
        <v>0</v>
      </c>
      <c r="DS20" s="154">
        <f t="shared" si="32"/>
        <v>283820.51411999995</v>
      </c>
      <c r="DT20" s="154">
        <f t="shared" si="33"/>
        <v>0</v>
      </c>
      <c r="DU20" s="154">
        <f t="shared" si="34"/>
        <v>0</v>
      </c>
      <c r="DV20" s="154">
        <f t="shared" si="35"/>
        <v>0</v>
      </c>
      <c r="DW20" s="154">
        <f t="shared" si="36"/>
        <v>0</v>
      </c>
      <c r="DX20" s="154">
        <f t="shared" si="37"/>
        <v>0</v>
      </c>
      <c r="DY20" s="154">
        <f t="shared" si="38"/>
        <v>0</v>
      </c>
      <c r="DZ20" s="154">
        <f t="shared" si="39"/>
        <v>0</v>
      </c>
      <c r="EA20" s="154">
        <f t="shared" si="40"/>
        <v>0</v>
      </c>
      <c r="EB20" s="154">
        <f t="shared" si="41"/>
        <v>0</v>
      </c>
      <c r="EC20" s="326"/>
      <c r="ED20" s="201">
        <f t="shared" si="42"/>
        <v>0</v>
      </c>
      <c r="EE20" s="202">
        <f t="shared" si="25"/>
        <v>0</v>
      </c>
      <c r="EF20" s="202">
        <f t="shared" si="25"/>
        <v>0</v>
      </c>
      <c r="EG20" s="202">
        <f t="shared" si="25"/>
        <v>0</v>
      </c>
      <c r="EH20" s="202">
        <f t="shared" si="25"/>
        <v>0</v>
      </c>
      <c r="EI20" s="202">
        <f t="shared" si="25"/>
        <v>0</v>
      </c>
      <c r="EJ20" s="202">
        <f t="shared" si="25"/>
        <v>0</v>
      </c>
      <c r="EK20" s="202">
        <f t="shared" si="25"/>
        <v>0</v>
      </c>
      <c r="EL20" s="202">
        <f t="shared" si="25"/>
        <v>0</v>
      </c>
      <c r="EM20" s="203">
        <f t="shared" si="25"/>
        <v>0</v>
      </c>
      <c r="EN20" s="326" t="s">
        <v>327</v>
      </c>
      <c r="EO20" s="200">
        <f t="shared" si="43"/>
        <v>164553.12587999998</v>
      </c>
      <c r="EP20" s="154">
        <f t="shared" si="44"/>
        <v>0</v>
      </c>
      <c r="EQ20" s="154">
        <f t="shared" si="45"/>
        <v>164553.12587999998</v>
      </c>
      <c r="ER20" s="154">
        <f t="shared" si="46"/>
        <v>0</v>
      </c>
      <c r="ES20" s="154">
        <f t="shared" si="47"/>
        <v>0</v>
      </c>
      <c r="ET20" s="154">
        <f t="shared" si="48"/>
        <v>0</v>
      </c>
      <c r="EU20" s="154">
        <f t="shared" si="49"/>
        <v>0</v>
      </c>
      <c r="EV20" s="154">
        <f t="shared" si="50"/>
        <v>0</v>
      </c>
      <c r="EW20" s="154">
        <f t="shared" si="51"/>
        <v>0</v>
      </c>
      <c r="EX20" s="154">
        <f t="shared" si="52"/>
        <v>0</v>
      </c>
      <c r="EY20" s="154">
        <f t="shared" si="53"/>
        <v>0</v>
      </c>
      <c r="EZ20" s="154">
        <f t="shared" si="54"/>
        <v>0</v>
      </c>
      <c r="FA20" s="326"/>
      <c r="FB20" s="201">
        <f t="shared" si="55"/>
        <v>0</v>
      </c>
      <c r="FC20" s="202">
        <f t="shared" si="28"/>
        <v>0</v>
      </c>
      <c r="FD20" s="202">
        <f t="shared" si="28"/>
        <v>0</v>
      </c>
      <c r="FE20" s="202">
        <f t="shared" si="28"/>
        <v>0</v>
      </c>
      <c r="FF20" s="202">
        <f t="shared" si="28"/>
        <v>0</v>
      </c>
      <c r="FG20" s="202">
        <f t="shared" si="28"/>
        <v>0</v>
      </c>
      <c r="FH20" s="202">
        <f t="shared" si="28"/>
        <v>0</v>
      </c>
      <c r="FI20" s="202">
        <f t="shared" si="28"/>
        <v>0</v>
      </c>
      <c r="FJ20" s="202">
        <f t="shared" si="28"/>
        <v>0</v>
      </c>
      <c r="FK20" s="203">
        <f t="shared" si="28"/>
        <v>0</v>
      </c>
    </row>
    <row r="21" spans="1:167" s="6" customFormat="1">
      <c r="A21" s="204" t="s">
        <v>152</v>
      </c>
      <c r="B21" s="204" t="s">
        <v>155</v>
      </c>
      <c r="C21" s="205" t="s">
        <v>110</v>
      </c>
      <c r="D21" s="206">
        <f t="shared" si="56"/>
        <v>16</v>
      </c>
      <c r="E21" s="327" t="s">
        <v>327</v>
      </c>
      <c r="F21" s="219"/>
      <c r="G21" s="219"/>
      <c r="H21" s="219">
        <v>9400000</v>
      </c>
      <c r="I21" s="219">
        <v>8000000</v>
      </c>
      <c r="J21" s="219">
        <v>8000000</v>
      </c>
      <c r="K21" s="219"/>
      <c r="L21" s="479" t="s">
        <v>867</v>
      </c>
      <c r="M21" s="480" t="s">
        <v>798</v>
      </c>
      <c r="N21" s="327" t="s">
        <v>327</v>
      </c>
      <c r="O21" s="433"/>
      <c r="P21" s="209"/>
      <c r="Q21" s="209"/>
      <c r="R21" s="209"/>
      <c r="S21" s="207"/>
      <c r="T21" s="207"/>
      <c r="U21" s="211"/>
      <c r="V21" s="215"/>
      <c r="W21" s="326" t="s">
        <v>327</v>
      </c>
      <c r="X21" s="436">
        <v>0</v>
      </c>
      <c r="Y21" s="207">
        <v>0</v>
      </c>
      <c r="Z21" s="207">
        <v>0</v>
      </c>
      <c r="AA21" s="207">
        <v>0</v>
      </c>
      <c r="AB21" s="207">
        <v>6900000</v>
      </c>
      <c r="AC21" s="207"/>
      <c r="AD21" s="207">
        <v>6900000</v>
      </c>
      <c r="AE21" s="207" t="s">
        <v>632</v>
      </c>
      <c r="AF21" s="215" t="s">
        <v>245</v>
      </c>
      <c r="AG21" s="326" t="s">
        <v>327</v>
      </c>
      <c r="AH21" s="436">
        <f t="shared" ref="AH21" si="91">F21</f>
        <v>0</v>
      </c>
      <c r="AI21" s="207">
        <f t="shared" ref="AI21" si="92">G21</f>
        <v>0</v>
      </c>
      <c r="AJ21" s="207">
        <f t="shared" ref="AJ21" si="93">H21</f>
        <v>9400000</v>
      </c>
      <c r="AK21" s="207">
        <f t="shared" ref="AK21" si="94">I21</f>
        <v>8000000</v>
      </c>
      <c r="AL21" s="207">
        <f t="shared" ref="AL21" si="95">J21</f>
        <v>8000000</v>
      </c>
      <c r="AM21" s="207">
        <f t="shared" ref="AM21" si="96">K21</f>
        <v>0</v>
      </c>
      <c r="AN21" s="207">
        <f t="shared" ref="AN21" si="97">AK21</f>
        <v>8000000</v>
      </c>
      <c r="AO21" s="207" t="str">
        <f t="shared" ref="AO21" si="98">L21</f>
        <v>EPA 2010</v>
      </c>
      <c r="AP21" s="215" t="str">
        <f t="shared" ref="AP21" si="99">M21</f>
        <v>Shipments estimated for 2009-10. Shipments for all of North America.</v>
      </c>
      <c r="AQ21" s="326" t="s">
        <v>327</v>
      </c>
      <c r="AR21" s="441" t="s">
        <v>776</v>
      </c>
      <c r="AS21" s="512">
        <v>0.36699999999999999</v>
      </c>
      <c r="AT21" s="211" t="s">
        <v>244</v>
      </c>
      <c r="AU21" s="215" t="s">
        <v>883</v>
      </c>
      <c r="AV21" s="326" t="s">
        <v>327</v>
      </c>
      <c r="AW21" s="446">
        <v>0</v>
      </c>
      <c r="AX21" s="214">
        <v>0</v>
      </c>
      <c r="AY21" s="210" t="s">
        <v>411</v>
      </c>
      <c r="AZ21" s="211"/>
      <c r="BA21" s="211" t="s">
        <v>283</v>
      </c>
      <c r="BB21" s="211" t="s">
        <v>283</v>
      </c>
      <c r="BC21" s="211" t="s">
        <v>283</v>
      </c>
      <c r="BD21" s="211"/>
      <c r="BE21" s="211"/>
      <c r="BF21" s="215"/>
      <c r="BG21" s="326" t="s">
        <v>327</v>
      </c>
      <c r="BH21" s="446">
        <v>1</v>
      </c>
      <c r="BI21" s="214">
        <v>1</v>
      </c>
      <c r="BJ21" s="211" t="s">
        <v>274</v>
      </c>
      <c r="BK21" s="211"/>
      <c r="BL21" s="211">
        <v>12</v>
      </c>
      <c r="BM21" s="211">
        <v>90</v>
      </c>
      <c r="BN21" s="211" t="s">
        <v>295</v>
      </c>
      <c r="BO21" s="211"/>
      <c r="BP21" s="211"/>
      <c r="BQ21" s="215"/>
      <c r="BR21" s="326" t="s">
        <v>327</v>
      </c>
      <c r="BS21" s="453">
        <v>0</v>
      </c>
      <c r="BT21" s="216">
        <v>0</v>
      </c>
      <c r="BU21" s="216">
        <v>0</v>
      </c>
      <c r="BV21" s="216">
        <v>0</v>
      </c>
      <c r="BW21" s="216">
        <v>0</v>
      </c>
      <c r="BX21" s="216">
        <v>0</v>
      </c>
      <c r="BY21" s="216">
        <v>0</v>
      </c>
      <c r="BZ21" s="216">
        <v>0</v>
      </c>
      <c r="CA21" s="216">
        <v>0</v>
      </c>
      <c r="CB21" s="216">
        <v>0</v>
      </c>
      <c r="CC21" s="216">
        <v>0</v>
      </c>
      <c r="CD21" s="217">
        <v>0</v>
      </c>
      <c r="CE21" s="215" t="s">
        <v>274</v>
      </c>
      <c r="CF21" s="326" t="s">
        <v>327</v>
      </c>
      <c r="CG21" s="377">
        <v>0</v>
      </c>
      <c r="CH21" s="378">
        <v>0</v>
      </c>
      <c r="CI21" s="378">
        <v>0</v>
      </c>
      <c r="CJ21" s="378">
        <v>0</v>
      </c>
      <c r="CK21" s="378">
        <v>0</v>
      </c>
      <c r="CL21" s="378">
        <v>0</v>
      </c>
      <c r="CM21" s="378">
        <v>0</v>
      </c>
      <c r="CN21" s="378">
        <v>0</v>
      </c>
      <c r="CO21" s="378">
        <v>0</v>
      </c>
      <c r="CP21" s="385">
        <v>1</v>
      </c>
      <c r="CQ21" s="215" t="s">
        <v>274</v>
      </c>
      <c r="CR21" s="326" t="s">
        <v>327</v>
      </c>
      <c r="CS21" s="218">
        <f t="shared" si="1"/>
        <v>0</v>
      </c>
      <c r="CT21" s="219">
        <f t="shared" si="2"/>
        <v>0</v>
      </c>
      <c r="CU21" s="219">
        <f t="shared" si="3"/>
        <v>0</v>
      </c>
      <c r="CV21" s="219">
        <f t="shared" si="4"/>
        <v>0</v>
      </c>
      <c r="CW21" s="219">
        <f t="shared" si="5"/>
        <v>0</v>
      </c>
      <c r="CX21" s="219">
        <f t="shared" si="6"/>
        <v>0</v>
      </c>
      <c r="CY21" s="219">
        <f t="shared" si="7"/>
        <v>0</v>
      </c>
      <c r="CZ21" s="219">
        <f t="shared" si="8"/>
        <v>0</v>
      </c>
      <c r="DA21" s="219">
        <f t="shared" si="9"/>
        <v>0</v>
      </c>
      <c r="DB21" s="219">
        <f t="shared" si="10"/>
        <v>0</v>
      </c>
      <c r="DC21" s="219">
        <f t="shared" si="11"/>
        <v>0</v>
      </c>
      <c r="DD21" s="219">
        <f t="shared" si="12"/>
        <v>0</v>
      </c>
      <c r="DE21" s="326"/>
      <c r="DF21" s="220">
        <f t="shared" si="13"/>
        <v>0</v>
      </c>
      <c r="DG21" s="221">
        <f t="shared" si="14"/>
        <v>0</v>
      </c>
      <c r="DH21" s="221">
        <f t="shared" si="15"/>
        <v>0</v>
      </c>
      <c r="DI21" s="221">
        <f t="shared" si="16"/>
        <v>0</v>
      </c>
      <c r="DJ21" s="221">
        <f t="shared" si="17"/>
        <v>0</v>
      </c>
      <c r="DK21" s="221">
        <f t="shared" si="18"/>
        <v>0</v>
      </c>
      <c r="DL21" s="221">
        <f t="shared" si="19"/>
        <v>0</v>
      </c>
      <c r="DM21" s="221">
        <f t="shared" si="20"/>
        <v>0</v>
      </c>
      <c r="DN21" s="221">
        <f t="shared" si="21"/>
        <v>0</v>
      </c>
      <c r="DO21" s="222">
        <f t="shared" si="22"/>
        <v>8000000</v>
      </c>
      <c r="DP21" s="326" t="s">
        <v>327</v>
      </c>
      <c r="DQ21" s="218">
        <f t="shared" si="30"/>
        <v>0</v>
      </c>
      <c r="DR21" s="219">
        <f t="shared" ref="DR21:DR80" si="100">CT21*(1-$AS21)</f>
        <v>0</v>
      </c>
      <c r="DS21" s="219">
        <f t="shared" ref="DS21:DS80" si="101">CU21*(1-$AS21)</f>
        <v>0</v>
      </c>
      <c r="DT21" s="219">
        <f t="shared" ref="DT21:DT80" si="102">CV21*(1-$AS21)</f>
        <v>0</v>
      </c>
      <c r="DU21" s="219">
        <f t="shared" ref="DU21:DU80" si="103">CW21*(1-$AS21)</f>
        <v>0</v>
      </c>
      <c r="DV21" s="219">
        <f t="shared" ref="DV21:DV80" si="104">CX21*(1-$AS21)</f>
        <v>0</v>
      </c>
      <c r="DW21" s="219">
        <f t="shared" ref="DW21:DW80" si="105">CY21*(1-$AS21)</f>
        <v>0</v>
      </c>
      <c r="DX21" s="219">
        <f t="shared" ref="DX21:DX80" si="106">CZ21*(1-$AS21)</f>
        <v>0</v>
      </c>
      <c r="DY21" s="219">
        <f t="shared" ref="DY21:DY80" si="107">DA21*(1-$AS21)</f>
        <v>0</v>
      </c>
      <c r="DZ21" s="219">
        <f t="shared" ref="DZ21:DZ80" si="108">DB21*(1-$AS21)</f>
        <v>0</v>
      </c>
      <c r="EA21" s="219">
        <f t="shared" si="40"/>
        <v>0</v>
      </c>
      <c r="EB21" s="219">
        <f t="shared" ref="EB21:EB80" si="109">DD21*(1-$AS21)</f>
        <v>0</v>
      </c>
      <c r="EC21" s="326"/>
      <c r="ED21" s="220">
        <f t="shared" si="42"/>
        <v>0</v>
      </c>
      <c r="EE21" s="221">
        <f t="shared" si="25"/>
        <v>0</v>
      </c>
      <c r="EF21" s="221">
        <f t="shared" si="25"/>
        <v>0</v>
      </c>
      <c r="EG21" s="221">
        <f t="shared" si="25"/>
        <v>0</v>
      </c>
      <c r="EH21" s="221">
        <f t="shared" si="25"/>
        <v>0</v>
      </c>
      <c r="EI21" s="221">
        <f t="shared" si="25"/>
        <v>0</v>
      </c>
      <c r="EJ21" s="221">
        <f t="shared" si="25"/>
        <v>0</v>
      </c>
      <c r="EK21" s="221">
        <f t="shared" si="25"/>
        <v>0</v>
      </c>
      <c r="EL21" s="221">
        <f t="shared" si="25"/>
        <v>0</v>
      </c>
      <c r="EM21" s="222">
        <f t="shared" si="25"/>
        <v>5064000</v>
      </c>
      <c r="EN21" s="326" t="s">
        <v>327</v>
      </c>
      <c r="EO21" s="218">
        <f t="shared" si="43"/>
        <v>0</v>
      </c>
      <c r="EP21" s="219">
        <f t="shared" ref="EP21:EP80" si="110">CT21*$AS21</f>
        <v>0</v>
      </c>
      <c r="EQ21" s="219">
        <f t="shared" ref="EQ21:EQ80" si="111">CU21*$AS21</f>
        <v>0</v>
      </c>
      <c r="ER21" s="219">
        <f t="shared" ref="ER21:ER80" si="112">CV21*$AS21</f>
        <v>0</v>
      </c>
      <c r="ES21" s="219">
        <f t="shared" ref="ES21:ES80" si="113">CW21*$AS21</f>
        <v>0</v>
      </c>
      <c r="ET21" s="219">
        <f t="shared" ref="ET21:ET80" si="114">CX21*$AS21</f>
        <v>0</v>
      </c>
      <c r="EU21" s="219">
        <f t="shared" ref="EU21:EU80" si="115">CY21*$AS21</f>
        <v>0</v>
      </c>
      <c r="EV21" s="219">
        <f t="shared" ref="EV21:EV80" si="116">CZ21*$AS21</f>
        <v>0</v>
      </c>
      <c r="EW21" s="219">
        <f t="shared" ref="EW21:EW80" si="117">DA21*$AS21</f>
        <v>0</v>
      </c>
      <c r="EX21" s="219">
        <f t="shared" ref="EX21:EX80" si="118">DB21*$AS21</f>
        <v>0</v>
      </c>
      <c r="EY21" s="219">
        <f t="shared" si="53"/>
        <v>0</v>
      </c>
      <c r="EZ21" s="219">
        <f t="shared" ref="EZ21:EZ80" si="119">DD21*$AS21</f>
        <v>0</v>
      </c>
      <c r="FA21" s="326"/>
      <c r="FB21" s="220">
        <f t="shared" si="55"/>
        <v>0</v>
      </c>
      <c r="FC21" s="221">
        <f t="shared" si="28"/>
        <v>0</v>
      </c>
      <c r="FD21" s="221">
        <f t="shared" si="28"/>
        <v>0</v>
      </c>
      <c r="FE21" s="221">
        <f t="shared" si="28"/>
        <v>0</v>
      </c>
      <c r="FF21" s="221">
        <f t="shared" si="28"/>
        <v>0</v>
      </c>
      <c r="FG21" s="221">
        <f t="shared" si="28"/>
        <v>0</v>
      </c>
      <c r="FH21" s="221">
        <f t="shared" si="28"/>
        <v>0</v>
      </c>
      <c r="FI21" s="221">
        <f t="shared" si="28"/>
        <v>0</v>
      </c>
      <c r="FJ21" s="221">
        <f t="shared" si="28"/>
        <v>0</v>
      </c>
      <c r="FK21" s="222">
        <f t="shared" si="28"/>
        <v>2936000</v>
      </c>
    </row>
    <row r="22" spans="1:167" s="6" customFormat="1">
      <c r="A22" s="186" t="s">
        <v>152</v>
      </c>
      <c r="B22" s="186" t="s">
        <v>155</v>
      </c>
      <c r="C22" s="187" t="s">
        <v>777</v>
      </c>
      <c r="D22" s="188">
        <f t="shared" si="56"/>
        <v>17</v>
      </c>
      <c r="E22" s="327"/>
      <c r="F22" s="154">
        <v>8956000</v>
      </c>
      <c r="G22" s="154">
        <v>9467000</v>
      </c>
      <c r="H22" s="154">
        <v>9846000</v>
      </c>
      <c r="I22" s="154">
        <v>9747000</v>
      </c>
      <c r="J22" s="154">
        <v>9552000</v>
      </c>
      <c r="K22" s="154">
        <v>9028000</v>
      </c>
      <c r="L22" s="156" t="s">
        <v>895</v>
      </c>
      <c r="M22" s="478" t="s">
        <v>787</v>
      </c>
      <c r="N22" s="327" t="s">
        <v>327</v>
      </c>
      <c r="O22" s="432"/>
      <c r="P22" s="191"/>
      <c r="Q22" s="191"/>
      <c r="R22" s="191"/>
      <c r="S22" s="189"/>
      <c r="T22" s="189"/>
      <c r="U22" s="193"/>
      <c r="V22" s="197"/>
      <c r="W22" s="326" t="s">
        <v>327</v>
      </c>
      <c r="X22" s="435"/>
      <c r="Y22" s="189"/>
      <c r="Z22" s="189"/>
      <c r="AA22" s="189"/>
      <c r="AB22" s="189"/>
      <c r="AC22" s="189"/>
      <c r="AD22" s="189"/>
      <c r="AE22" s="189"/>
      <c r="AF22" s="437"/>
      <c r="AG22" s="326"/>
      <c r="AH22" s="435">
        <f t="shared" ref="AH22:AH23" si="120">F22</f>
        <v>8956000</v>
      </c>
      <c r="AI22" s="189">
        <f t="shared" ref="AI22:AI23" si="121">G22</f>
        <v>9467000</v>
      </c>
      <c r="AJ22" s="189">
        <f t="shared" ref="AJ22:AJ23" si="122">H22</f>
        <v>9846000</v>
      </c>
      <c r="AK22" s="189">
        <f t="shared" ref="AK22" si="123">I22</f>
        <v>9747000</v>
      </c>
      <c r="AL22" s="189">
        <f t="shared" ref="AL22" si="124">J22</f>
        <v>9552000</v>
      </c>
      <c r="AM22" s="189">
        <f t="shared" ref="AM22" si="125">K22</f>
        <v>9028000</v>
      </c>
      <c r="AN22" s="189">
        <f t="shared" si="0"/>
        <v>9747000</v>
      </c>
      <c r="AO22" s="189" t="str">
        <f t="shared" ref="AO22:AO23" si="126">L22</f>
        <v>CEA 2010</v>
      </c>
      <c r="AP22" s="437" t="str">
        <f t="shared" ref="AP22:AP23" si="127">M22</f>
        <v>Sales to dealers of "Aftermarket Computer Monitors". Includes other topologies, e.g. LCD.</v>
      </c>
      <c r="AQ22" s="326" t="s">
        <v>327</v>
      </c>
      <c r="AR22" s="439" t="s">
        <v>776</v>
      </c>
      <c r="AS22" s="511">
        <v>0.67</v>
      </c>
      <c r="AT22" s="193" t="s">
        <v>649</v>
      </c>
      <c r="AU22" s="197" t="s">
        <v>832</v>
      </c>
      <c r="AV22" s="326" t="s">
        <v>327</v>
      </c>
      <c r="AW22" s="445">
        <v>0.2</v>
      </c>
      <c r="AX22" s="196">
        <v>1</v>
      </c>
      <c r="AY22" s="481" t="s">
        <v>948</v>
      </c>
      <c r="AZ22" s="193" t="s">
        <v>949</v>
      </c>
      <c r="BA22" s="193">
        <v>12</v>
      </c>
      <c r="BB22" s="193">
        <v>72</v>
      </c>
      <c r="BC22" s="193" t="s">
        <v>272</v>
      </c>
      <c r="BD22" s="193"/>
      <c r="BE22" s="193"/>
      <c r="BF22" s="197"/>
      <c r="BG22" s="326"/>
      <c r="BH22" s="445">
        <v>0</v>
      </c>
      <c r="BI22" s="196">
        <v>0</v>
      </c>
      <c r="BJ22" s="193"/>
      <c r="BK22" s="193"/>
      <c r="BL22" s="193"/>
      <c r="BM22" s="193"/>
      <c r="BN22" s="193"/>
      <c r="BO22" s="193"/>
      <c r="BP22" s="193"/>
      <c r="BQ22" s="197"/>
      <c r="BR22" s="326"/>
      <c r="BS22" s="452">
        <v>1</v>
      </c>
      <c r="BT22" s="198">
        <v>0</v>
      </c>
      <c r="BU22" s="198">
        <v>0</v>
      </c>
      <c r="BV22" s="198">
        <v>1</v>
      </c>
      <c r="BW22" s="198">
        <v>0</v>
      </c>
      <c r="BX22" s="198">
        <v>0</v>
      </c>
      <c r="BY22" s="198">
        <v>0</v>
      </c>
      <c r="BZ22" s="198">
        <v>0</v>
      </c>
      <c r="CA22" s="198">
        <v>0</v>
      </c>
      <c r="CB22" s="198">
        <v>0</v>
      </c>
      <c r="CC22" s="198">
        <v>0</v>
      </c>
      <c r="CD22" s="199">
        <v>0</v>
      </c>
      <c r="CE22" s="197" t="s">
        <v>274</v>
      </c>
      <c r="CF22" s="326"/>
      <c r="CG22" s="379">
        <v>0</v>
      </c>
      <c r="CH22" s="380">
        <v>0</v>
      </c>
      <c r="CI22" s="380">
        <v>0</v>
      </c>
      <c r="CJ22" s="380">
        <v>0</v>
      </c>
      <c r="CK22" s="380">
        <v>0</v>
      </c>
      <c r="CL22" s="380">
        <v>0</v>
      </c>
      <c r="CM22" s="380">
        <v>0</v>
      </c>
      <c r="CN22" s="380">
        <v>0</v>
      </c>
      <c r="CO22" s="380">
        <v>0</v>
      </c>
      <c r="CP22" s="386">
        <v>0</v>
      </c>
      <c r="CQ22" s="197" t="s">
        <v>274</v>
      </c>
      <c r="CR22" s="326"/>
      <c r="CS22" s="200">
        <f t="shared" si="1"/>
        <v>1949400</v>
      </c>
      <c r="CT22" s="154">
        <f t="shared" si="2"/>
        <v>0</v>
      </c>
      <c r="CU22" s="154">
        <f t="shared" si="3"/>
        <v>0</v>
      </c>
      <c r="CV22" s="154">
        <f t="shared" si="4"/>
        <v>1949400</v>
      </c>
      <c r="CW22" s="154">
        <f t="shared" si="5"/>
        <v>0</v>
      </c>
      <c r="CX22" s="154">
        <f t="shared" si="6"/>
        <v>0</v>
      </c>
      <c r="CY22" s="154">
        <f t="shared" si="7"/>
        <v>0</v>
      </c>
      <c r="CZ22" s="154">
        <f t="shared" si="8"/>
        <v>0</v>
      </c>
      <c r="DA22" s="154">
        <f t="shared" si="9"/>
        <v>0</v>
      </c>
      <c r="DB22" s="154">
        <f t="shared" si="10"/>
        <v>0</v>
      </c>
      <c r="DC22" s="154">
        <f t="shared" si="11"/>
        <v>0</v>
      </c>
      <c r="DD22" s="154">
        <f t="shared" si="12"/>
        <v>0</v>
      </c>
      <c r="DE22" s="326"/>
      <c r="DF22" s="201">
        <f t="shared" si="13"/>
        <v>0</v>
      </c>
      <c r="DG22" s="202">
        <f t="shared" si="14"/>
        <v>0</v>
      </c>
      <c r="DH22" s="202">
        <f t="shared" si="15"/>
        <v>0</v>
      </c>
      <c r="DI22" s="202">
        <f t="shared" si="16"/>
        <v>0</v>
      </c>
      <c r="DJ22" s="202">
        <f t="shared" si="17"/>
        <v>0</v>
      </c>
      <c r="DK22" s="202">
        <f t="shared" si="18"/>
        <v>0</v>
      </c>
      <c r="DL22" s="202">
        <f t="shared" si="19"/>
        <v>0</v>
      </c>
      <c r="DM22" s="202">
        <f t="shared" si="20"/>
        <v>0</v>
      </c>
      <c r="DN22" s="202">
        <f t="shared" si="21"/>
        <v>0</v>
      </c>
      <c r="DO22" s="203">
        <f t="shared" si="22"/>
        <v>0</v>
      </c>
      <c r="DP22" s="326"/>
      <c r="DQ22" s="200">
        <f t="shared" si="30"/>
        <v>643301.99999999988</v>
      </c>
      <c r="DR22" s="154">
        <f t="shared" si="100"/>
        <v>0</v>
      </c>
      <c r="DS22" s="154">
        <f t="shared" si="101"/>
        <v>0</v>
      </c>
      <c r="DT22" s="154">
        <f t="shared" si="102"/>
        <v>643301.99999999988</v>
      </c>
      <c r="DU22" s="154">
        <f t="shared" si="103"/>
        <v>0</v>
      </c>
      <c r="DV22" s="154">
        <f t="shared" si="104"/>
        <v>0</v>
      </c>
      <c r="DW22" s="154">
        <f t="shared" si="105"/>
        <v>0</v>
      </c>
      <c r="DX22" s="154">
        <f t="shared" si="106"/>
        <v>0</v>
      </c>
      <c r="DY22" s="154">
        <f t="shared" si="107"/>
        <v>0</v>
      </c>
      <c r="DZ22" s="154">
        <f t="shared" si="108"/>
        <v>0</v>
      </c>
      <c r="EA22" s="154">
        <f t="shared" si="40"/>
        <v>0</v>
      </c>
      <c r="EB22" s="154">
        <f t="shared" si="109"/>
        <v>0</v>
      </c>
      <c r="EC22" s="326"/>
      <c r="ED22" s="201">
        <f t="shared" si="42"/>
        <v>0</v>
      </c>
      <c r="EE22" s="202">
        <f t="shared" ref="EE22:EE81" si="128">DG22*(1-$AS22)</f>
        <v>0</v>
      </c>
      <c r="EF22" s="202">
        <f t="shared" ref="EF22:EF81" si="129">DH22*(1-$AS22)</f>
        <v>0</v>
      </c>
      <c r="EG22" s="202">
        <f t="shared" ref="EG22:EG81" si="130">DI22*(1-$AS22)</f>
        <v>0</v>
      </c>
      <c r="EH22" s="202">
        <f t="shared" ref="EH22:EH81" si="131">DJ22*(1-$AS22)</f>
        <v>0</v>
      </c>
      <c r="EI22" s="202">
        <f t="shared" ref="EI22:EI81" si="132">DK22*(1-$AS22)</f>
        <v>0</v>
      </c>
      <c r="EJ22" s="202">
        <f t="shared" ref="EJ22:EJ81" si="133">DL22*(1-$AS22)</f>
        <v>0</v>
      </c>
      <c r="EK22" s="202">
        <f t="shared" ref="EK22:EK81" si="134">DM22*(1-$AS22)</f>
        <v>0</v>
      </c>
      <c r="EL22" s="202">
        <f t="shared" ref="EL22:EL81" si="135">DN22*(1-$AS22)</f>
        <v>0</v>
      </c>
      <c r="EM22" s="203">
        <f t="shared" ref="EM22:EM81" si="136">DO22*(1-$AS22)</f>
        <v>0</v>
      </c>
      <c r="EN22" s="326"/>
      <c r="EO22" s="200">
        <f t="shared" si="43"/>
        <v>1306098</v>
      </c>
      <c r="EP22" s="154">
        <f t="shared" si="110"/>
        <v>0</v>
      </c>
      <c r="EQ22" s="154">
        <f t="shared" si="111"/>
        <v>0</v>
      </c>
      <c r="ER22" s="154">
        <f t="shared" si="112"/>
        <v>1306098</v>
      </c>
      <c r="ES22" s="154">
        <f t="shared" si="113"/>
        <v>0</v>
      </c>
      <c r="ET22" s="154">
        <f t="shared" si="114"/>
        <v>0</v>
      </c>
      <c r="EU22" s="154">
        <f t="shared" si="115"/>
        <v>0</v>
      </c>
      <c r="EV22" s="154">
        <f t="shared" si="116"/>
        <v>0</v>
      </c>
      <c r="EW22" s="154">
        <f t="shared" si="117"/>
        <v>0</v>
      </c>
      <c r="EX22" s="154">
        <f t="shared" si="118"/>
        <v>0</v>
      </c>
      <c r="EY22" s="154">
        <f t="shared" si="53"/>
        <v>0</v>
      </c>
      <c r="EZ22" s="154">
        <f t="shared" si="119"/>
        <v>0</v>
      </c>
      <c r="FA22" s="326"/>
      <c r="FB22" s="201">
        <f t="shared" si="55"/>
        <v>0</v>
      </c>
      <c r="FC22" s="202">
        <f t="shared" ref="FC22:FC81" si="137">DG22*$AS22</f>
        <v>0</v>
      </c>
      <c r="FD22" s="202">
        <f t="shared" ref="FD22:FD81" si="138">DH22*$AS22</f>
        <v>0</v>
      </c>
      <c r="FE22" s="202">
        <f t="shared" ref="FE22:FE81" si="139">DI22*$AS22</f>
        <v>0</v>
      </c>
      <c r="FF22" s="202">
        <f t="shared" ref="FF22:FF81" si="140">DJ22*$AS22</f>
        <v>0</v>
      </c>
      <c r="FG22" s="202">
        <f t="shared" ref="FG22:FG81" si="141">DK22*$AS22</f>
        <v>0</v>
      </c>
      <c r="FH22" s="202">
        <f t="shared" ref="FH22:FH81" si="142">DL22*$AS22</f>
        <v>0</v>
      </c>
      <c r="FI22" s="202">
        <f t="shared" ref="FI22:FI81" si="143">DM22*$AS22</f>
        <v>0</v>
      </c>
      <c r="FJ22" s="202">
        <f t="shared" ref="FJ22:FJ81" si="144">DN22*$AS22</f>
        <v>0</v>
      </c>
      <c r="FK22" s="203">
        <f t="shared" ref="FK22:FK81" si="145">DO22*$AS22</f>
        <v>0</v>
      </c>
    </row>
    <row r="23" spans="1:167" s="6" customFormat="1">
      <c r="A23" s="204" t="s">
        <v>152</v>
      </c>
      <c r="B23" s="204" t="s">
        <v>156</v>
      </c>
      <c r="C23" s="205" t="s">
        <v>225</v>
      </c>
      <c r="D23" s="206">
        <f t="shared" si="56"/>
        <v>18</v>
      </c>
      <c r="E23" s="327" t="s">
        <v>327</v>
      </c>
      <c r="F23" s="219">
        <v>8400000</v>
      </c>
      <c r="G23" s="219">
        <v>8082000</v>
      </c>
      <c r="H23" s="219">
        <v>7776000</v>
      </c>
      <c r="I23" s="219"/>
      <c r="J23" s="219"/>
      <c r="K23" s="219"/>
      <c r="L23" s="479" t="s">
        <v>897</v>
      </c>
      <c r="M23" s="480" t="s">
        <v>796</v>
      </c>
      <c r="N23" s="327" t="s">
        <v>327</v>
      </c>
      <c r="O23" s="433"/>
      <c r="P23" s="209"/>
      <c r="Q23" s="209"/>
      <c r="R23" s="209"/>
      <c r="S23" s="207"/>
      <c r="T23" s="207"/>
      <c r="U23" s="211"/>
      <c r="V23" s="215"/>
      <c r="W23" s="326" t="s">
        <v>327</v>
      </c>
      <c r="X23" s="436">
        <v>0</v>
      </c>
      <c r="Y23" s="207">
        <v>0</v>
      </c>
      <c r="Z23" s="207">
        <v>0</v>
      </c>
      <c r="AA23" s="207">
        <v>0</v>
      </c>
      <c r="AB23" s="207">
        <v>1000000</v>
      </c>
      <c r="AC23" s="207"/>
      <c r="AD23" s="207">
        <v>1000000</v>
      </c>
      <c r="AE23" s="207" t="s">
        <v>249</v>
      </c>
      <c r="AF23" s="215"/>
      <c r="AG23" s="326" t="s">
        <v>327</v>
      </c>
      <c r="AH23" s="436">
        <f t="shared" si="120"/>
        <v>8400000</v>
      </c>
      <c r="AI23" s="207">
        <f t="shared" si="121"/>
        <v>8082000</v>
      </c>
      <c r="AJ23" s="207">
        <f t="shared" si="122"/>
        <v>7776000</v>
      </c>
      <c r="AK23" s="207">
        <f>AJ23*1.009</f>
        <v>7845983.9999999991</v>
      </c>
      <c r="AL23" s="207"/>
      <c r="AM23" s="207"/>
      <c r="AN23" s="207">
        <f t="shared" si="0"/>
        <v>7845983.9999999991</v>
      </c>
      <c r="AO23" s="207" t="str">
        <f t="shared" si="126"/>
        <v>NCI 2009</v>
      </c>
      <c r="AP23" s="215" t="str">
        <f t="shared" si="127"/>
        <v>NCI Report cites Sanchez, et al. (2007)</v>
      </c>
      <c r="AQ23" s="326" t="s">
        <v>327</v>
      </c>
      <c r="AR23" s="441" t="s">
        <v>776</v>
      </c>
      <c r="AS23" s="512">
        <v>0.36699999999999999</v>
      </c>
      <c r="AT23" s="479" t="s">
        <v>897</v>
      </c>
      <c r="AU23" s="480" t="s">
        <v>880</v>
      </c>
      <c r="AV23" s="326" t="s">
        <v>327</v>
      </c>
      <c r="AW23" s="446">
        <v>0.4</v>
      </c>
      <c r="AX23" s="214">
        <v>1</v>
      </c>
      <c r="AY23" s="211" t="s">
        <v>273</v>
      </c>
      <c r="AZ23" s="211"/>
      <c r="BA23" s="211">
        <f>BA26</f>
        <v>18</v>
      </c>
      <c r="BB23" s="211">
        <f>BB26</f>
        <v>36</v>
      </c>
      <c r="BC23" s="211" t="s">
        <v>327</v>
      </c>
      <c r="BD23" s="211"/>
      <c r="BE23" s="211"/>
      <c r="BF23" s="215"/>
      <c r="BG23" s="326" t="s">
        <v>327</v>
      </c>
      <c r="BH23" s="446">
        <v>0</v>
      </c>
      <c r="BI23" s="214">
        <v>0</v>
      </c>
      <c r="BJ23" s="211" t="s">
        <v>400</v>
      </c>
      <c r="BK23" s="211"/>
      <c r="BL23" s="211" t="s">
        <v>283</v>
      </c>
      <c r="BM23" s="211" t="s">
        <v>283</v>
      </c>
      <c r="BN23" s="211" t="s">
        <v>283</v>
      </c>
      <c r="BO23" s="211"/>
      <c r="BP23" s="211"/>
      <c r="BQ23" s="215"/>
      <c r="BR23" s="326" t="s">
        <v>327</v>
      </c>
      <c r="BS23" s="453">
        <v>1</v>
      </c>
      <c r="BT23" s="216">
        <v>0</v>
      </c>
      <c r="BU23" s="216">
        <v>1</v>
      </c>
      <c r="BV23" s="216">
        <v>0</v>
      </c>
      <c r="BW23" s="216">
        <v>0</v>
      </c>
      <c r="BX23" s="216">
        <v>0</v>
      </c>
      <c r="BY23" s="216">
        <v>0</v>
      </c>
      <c r="BZ23" s="216">
        <v>0</v>
      </c>
      <c r="CA23" s="216">
        <v>0</v>
      </c>
      <c r="CB23" s="216">
        <v>0</v>
      </c>
      <c r="CC23" s="216">
        <v>0</v>
      </c>
      <c r="CD23" s="217">
        <v>0</v>
      </c>
      <c r="CE23" s="215" t="s">
        <v>436</v>
      </c>
      <c r="CF23" s="326" t="s">
        <v>327</v>
      </c>
      <c r="CG23" s="377">
        <v>0</v>
      </c>
      <c r="CH23" s="378">
        <v>0</v>
      </c>
      <c r="CI23" s="378">
        <v>0</v>
      </c>
      <c r="CJ23" s="378">
        <v>0</v>
      </c>
      <c r="CK23" s="378">
        <v>0</v>
      </c>
      <c r="CL23" s="378">
        <v>0</v>
      </c>
      <c r="CM23" s="378">
        <v>0</v>
      </c>
      <c r="CN23" s="378">
        <v>0</v>
      </c>
      <c r="CO23" s="378">
        <v>0</v>
      </c>
      <c r="CP23" s="385">
        <v>0</v>
      </c>
      <c r="CQ23" s="215" t="s">
        <v>436</v>
      </c>
      <c r="CR23" s="326" t="s">
        <v>327</v>
      </c>
      <c r="CS23" s="218">
        <f t="shared" si="1"/>
        <v>3138393.5999999996</v>
      </c>
      <c r="CT23" s="219">
        <f t="shared" si="2"/>
        <v>0</v>
      </c>
      <c r="CU23" s="219">
        <f t="shared" si="3"/>
        <v>3138393.5999999996</v>
      </c>
      <c r="CV23" s="219">
        <f t="shared" si="4"/>
        <v>0</v>
      </c>
      <c r="CW23" s="219">
        <f t="shared" si="5"/>
        <v>0</v>
      </c>
      <c r="CX23" s="219">
        <f t="shared" si="6"/>
        <v>0</v>
      </c>
      <c r="CY23" s="219">
        <f t="shared" si="7"/>
        <v>0</v>
      </c>
      <c r="CZ23" s="219">
        <f t="shared" si="8"/>
        <v>0</v>
      </c>
      <c r="DA23" s="219">
        <f t="shared" si="9"/>
        <v>0</v>
      </c>
      <c r="DB23" s="219">
        <f t="shared" si="10"/>
        <v>0</v>
      </c>
      <c r="DC23" s="219">
        <f t="shared" si="11"/>
        <v>0</v>
      </c>
      <c r="DD23" s="219">
        <f t="shared" si="12"/>
        <v>0</v>
      </c>
      <c r="DE23" s="326"/>
      <c r="DF23" s="220">
        <f t="shared" si="13"/>
        <v>0</v>
      </c>
      <c r="DG23" s="221">
        <f t="shared" si="14"/>
        <v>0</v>
      </c>
      <c r="DH23" s="221">
        <f t="shared" si="15"/>
        <v>0</v>
      </c>
      <c r="DI23" s="221">
        <f t="shared" si="16"/>
        <v>0</v>
      </c>
      <c r="DJ23" s="221">
        <f t="shared" si="17"/>
        <v>0</v>
      </c>
      <c r="DK23" s="221">
        <f t="shared" si="18"/>
        <v>0</v>
      </c>
      <c r="DL23" s="221">
        <f t="shared" si="19"/>
        <v>0</v>
      </c>
      <c r="DM23" s="221">
        <f t="shared" si="20"/>
        <v>0</v>
      </c>
      <c r="DN23" s="221">
        <f t="shared" si="21"/>
        <v>0</v>
      </c>
      <c r="DO23" s="222">
        <f t="shared" si="22"/>
        <v>0</v>
      </c>
      <c r="DP23" s="326" t="s">
        <v>327</v>
      </c>
      <c r="DQ23" s="218">
        <f t="shared" si="30"/>
        <v>1986603.1487999998</v>
      </c>
      <c r="DR23" s="219">
        <f t="shared" si="100"/>
        <v>0</v>
      </c>
      <c r="DS23" s="219">
        <f t="shared" si="101"/>
        <v>1986603.1487999998</v>
      </c>
      <c r="DT23" s="219">
        <f t="shared" si="102"/>
        <v>0</v>
      </c>
      <c r="DU23" s="219">
        <f t="shared" si="103"/>
        <v>0</v>
      </c>
      <c r="DV23" s="219">
        <f t="shared" si="104"/>
        <v>0</v>
      </c>
      <c r="DW23" s="219">
        <f t="shared" si="105"/>
        <v>0</v>
      </c>
      <c r="DX23" s="219">
        <f t="shared" si="106"/>
        <v>0</v>
      </c>
      <c r="DY23" s="219">
        <f t="shared" si="107"/>
        <v>0</v>
      </c>
      <c r="DZ23" s="219">
        <f t="shared" si="108"/>
        <v>0</v>
      </c>
      <c r="EA23" s="219">
        <f t="shared" si="40"/>
        <v>0</v>
      </c>
      <c r="EB23" s="219">
        <f t="shared" si="109"/>
        <v>0</v>
      </c>
      <c r="EC23" s="326"/>
      <c r="ED23" s="220">
        <f t="shared" si="42"/>
        <v>0</v>
      </c>
      <c r="EE23" s="221">
        <f t="shared" si="128"/>
        <v>0</v>
      </c>
      <c r="EF23" s="221">
        <f t="shared" si="129"/>
        <v>0</v>
      </c>
      <c r="EG23" s="221">
        <f t="shared" si="130"/>
        <v>0</v>
      </c>
      <c r="EH23" s="221">
        <f t="shared" si="131"/>
        <v>0</v>
      </c>
      <c r="EI23" s="221">
        <f t="shared" si="132"/>
        <v>0</v>
      </c>
      <c r="EJ23" s="221">
        <f t="shared" si="133"/>
        <v>0</v>
      </c>
      <c r="EK23" s="221">
        <f t="shared" si="134"/>
        <v>0</v>
      </c>
      <c r="EL23" s="221">
        <f t="shared" si="135"/>
        <v>0</v>
      </c>
      <c r="EM23" s="222">
        <f t="shared" si="136"/>
        <v>0</v>
      </c>
      <c r="EN23" s="326" t="s">
        <v>327</v>
      </c>
      <c r="EO23" s="218">
        <f t="shared" si="43"/>
        <v>1151790.4511999998</v>
      </c>
      <c r="EP23" s="219">
        <f t="shared" si="110"/>
        <v>0</v>
      </c>
      <c r="EQ23" s="219">
        <f t="shared" si="111"/>
        <v>1151790.4511999998</v>
      </c>
      <c r="ER23" s="219">
        <f t="shared" si="112"/>
        <v>0</v>
      </c>
      <c r="ES23" s="219">
        <f t="shared" si="113"/>
        <v>0</v>
      </c>
      <c r="ET23" s="219">
        <f t="shared" si="114"/>
        <v>0</v>
      </c>
      <c r="EU23" s="219">
        <f t="shared" si="115"/>
        <v>0</v>
      </c>
      <c r="EV23" s="219">
        <f t="shared" si="116"/>
        <v>0</v>
      </c>
      <c r="EW23" s="219">
        <f t="shared" si="117"/>
        <v>0</v>
      </c>
      <c r="EX23" s="219">
        <f t="shared" si="118"/>
        <v>0</v>
      </c>
      <c r="EY23" s="219">
        <f t="shared" si="53"/>
        <v>0</v>
      </c>
      <c r="EZ23" s="219">
        <f t="shared" si="119"/>
        <v>0</v>
      </c>
      <c r="FA23" s="326"/>
      <c r="FB23" s="220">
        <f t="shared" si="55"/>
        <v>0</v>
      </c>
      <c r="FC23" s="221">
        <f t="shared" si="137"/>
        <v>0</v>
      </c>
      <c r="FD23" s="221">
        <f t="shared" si="138"/>
        <v>0</v>
      </c>
      <c r="FE23" s="221">
        <f t="shared" si="139"/>
        <v>0</v>
      </c>
      <c r="FF23" s="221">
        <f t="shared" si="140"/>
        <v>0</v>
      </c>
      <c r="FG23" s="221">
        <f t="shared" si="141"/>
        <v>0</v>
      </c>
      <c r="FH23" s="221">
        <f t="shared" si="142"/>
        <v>0</v>
      </c>
      <c r="FI23" s="221">
        <f t="shared" si="143"/>
        <v>0</v>
      </c>
      <c r="FJ23" s="221">
        <f t="shared" si="144"/>
        <v>0</v>
      </c>
      <c r="FK23" s="222">
        <f t="shared" si="145"/>
        <v>0</v>
      </c>
    </row>
    <row r="24" spans="1:167" s="6" customFormat="1">
      <c r="A24" s="186" t="s">
        <v>152</v>
      </c>
      <c r="B24" s="186" t="s">
        <v>156</v>
      </c>
      <c r="C24" s="187" t="s">
        <v>111</v>
      </c>
      <c r="D24" s="188">
        <f t="shared" si="56"/>
        <v>19</v>
      </c>
      <c r="E24" s="327" t="s">
        <v>327</v>
      </c>
      <c r="F24" s="154"/>
      <c r="G24" s="154"/>
      <c r="H24" s="154"/>
      <c r="I24" s="154">
        <v>10000</v>
      </c>
      <c r="J24" s="154"/>
      <c r="K24" s="154"/>
      <c r="L24" s="481" t="s">
        <v>843</v>
      </c>
      <c r="M24" s="478" t="s">
        <v>907</v>
      </c>
      <c r="N24" s="327" t="s">
        <v>327</v>
      </c>
      <c r="O24" s="200"/>
      <c r="P24" s="154"/>
      <c r="Q24" s="154"/>
      <c r="R24" s="154">
        <v>0</v>
      </c>
      <c r="S24" s="154"/>
      <c r="T24" s="154"/>
      <c r="U24" s="481" t="s">
        <v>1233</v>
      </c>
      <c r="V24" s="478" t="s">
        <v>1234</v>
      </c>
      <c r="W24" s="326" t="s">
        <v>327</v>
      </c>
      <c r="X24" s="435">
        <v>0</v>
      </c>
      <c r="Y24" s="189">
        <v>0</v>
      </c>
      <c r="Z24" s="189">
        <v>0</v>
      </c>
      <c r="AA24" s="189">
        <v>0</v>
      </c>
      <c r="AB24" s="189">
        <v>10000</v>
      </c>
      <c r="AC24" s="189"/>
      <c r="AD24" s="189">
        <v>10000</v>
      </c>
      <c r="AE24" s="189" t="s">
        <v>249</v>
      </c>
      <c r="AF24" s="437"/>
      <c r="AG24" s="326" t="s">
        <v>327</v>
      </c>
      <c r="AH24" s="435"/>
      <c r="AI24" s="189"/>
      <c r="AJ24" s="189"/>
      <c r="AK24" s="189">
        <f>R24</f>
        <v>0</v>
      </c>
      <c r="AL24" s="189"/>
      <c r="AM24" s="189"/>
      <c r="AN24" s="189">
        <f t="shared" ref="AN24" si="146">AK24</f>
        <v>0</v>
      </c>
      <c r="AO24" s="189" t="str">
        <f>U24</f>
        <v>N/A</v>
      </c>
      <c r="AP24" s="189" t="str">
        <f>V24</f>
        <v>Insignificant shipments</v>
      </c>
      <c r="AQ24" s="326" t="s">
        <v>327</v>
      </c>
      <c r="AR24" s="439" t="s">
        <v>776</v>
      </c>
      <c r="AS24" s="511">
        <v>0.55000000000000004</v>
      </c>
      <c r="AT24" s="193" t="s">
        <v>244</v>
      </c>
      <c r="AU24" s="197" t="s">
        <v>887</v>
      </c>
      <c r="AV24" s="326" t="s">
        <v>327</v>
      </c>
      <c r="AW24" s="445">
        <v>0</v>
      </c>
      <c r="AX24" s="196">
        <v>0</v>
      </c>
      <c r="AY24" s="481" t="s">
        <v>272</v>
      </c>
      <c r="AZ24" s="193"/>
      <c r="BA24" s="193"/>
      <c r="BB24" s="193"/>
      <c r="BC24" s="193"/>
      <c r="BD24" s="193"/>
      <c r="BE24" s="193"/>
      <c r="BF24" s="197"/>
      <c r="BG24" s="326" t="s">
        <v>327</v>
      </c>
      <c r="BH24" s="445">
        <v>0.1</v>
      </c>
      <c r="BI24" s="196">
        <v>1</v>
      </c>
      <c r="BJ24" s="193" t="s">
        <v>886</v>
      </c>
      <c r="BK24" s="193"/>
      <c r="BL24" s="193">
        <v>3.7</v>
      </c>
      <c r="BM24" s="193" t="s">
        <v>283</v>
      </c>
      <c r="BN24" s="193" t="s">
        <v>249</v>
      </c>
      <c r="BO24" s="193"/>
      <c r="BP24" s="193"/>
      <c r="BQ24" s="197"/>
      <c r="BR24" s="326" t="s">
        <v>327</v>
      </c>
      <c r="BS24" s="452">
        <v>0</v>
      </c>
      <c r="BT24" s="198">
        <v>0</v>
      </c>
      <c r="BU24" s="198">
        <v>0</v>
      </c>
      <c r="BV24" s="198">
        <v>0</v>
      </c>
      <c r="BW24" s="198">
        <v>0</v>
      </c>
      <c r="BX24" s="198">
        <v>0</v>
      </c>
      <c r="BY24" s="198">
        <v>0</v>
      </c>
      <c r="BZ24" s="198">
        <v>0</v>
      </c>
      <c r="CA24" s="198">
        <v>0</v>
      </c>
      <c r="CB24" s="198">
        <v>0</v>
      </c>
      <c r="CC24" s="198">
        <v>0</v>
      </c>
      <c r="CD24" s="199">
        <v>0</v>
      </c>
      <c r="CE24" s="197" t="s">
        <v>272</v>
      </c>
      <c r="CF24" s="326" t="s">
        <v>327</v>
      </c>
      <c r="CG24" s="379">
        <v>0</v>
      </c>
      <c r="CH24" s="380">
        <v>0</v>
      </c>
      <c r="CI24" s="380">
        <v>0</v>
      </c>
      <c r="CJ24" s="380">
        <v>0</v>
      </c>
      <c r="CK24" s="380">
        <v>0</v>
      </c>
      <c r="CL24" s="380">
        <v>0</v>
      </c>
      <c r="CM24" s="380">
        <v>0</v>
      </c>
      <c r="CN24" s="380">
        <v>1</v>
      </c>
      <c r="CO24" s="380">
        <v>0</v>
      </c>
      <c r="CP24" s="386">
        <v>0</v>
      </c>
      <c r="CQ24" s="197" t="s">
        <v>272</v>
      </c>
      <c r="CR24" s="326" t="s">
        <v>327</v>
      </c>
      <c r="CS24" s="200">
        <f t="shared" si="1"/>
        <v>0</v>
      </c>
      <c r="CT24" s="154">
        <f t="shared" si="2"/>
        <v>0</v>
      </c>
      <c r="CU24" s="154">
        <f t="shared" si="3"/>
        <v>0</v>
      </c>
      <c r="CV24" s="154">
        <f t="shared" si="4"/>
        <v>0</v>
      </c>
      <c r="CW24" s="154">
        <f t="shared" si="5"/>
        <v>0</v>
      </c>
      <c r="CX24" s="154">
        <f t="shared" si="6"/>
        <v>0</v>
      </c>
      <c r="CY24" s="154">
        <f t="shared" si="7"/>
        <v>0</v>
      </c>
      <c r="CZ24" s="154">
        <f t="shared" si="8"/>
        <v>0</v>
      </c>
      <c r="DA24" s="154">
        <f t="shared" si="9"/>
        <v>0</v>
      </c>
      <c r="DB24" s="154">
        <f t="shared" si="10"/>
        <v>0</v>
      </c>
      <c r="DC24" s="154">
        <f t="shared" si="11"/>
        <v>0</v>
      </c>
      <c r="DD24" s="154">
        <f t="shared" si="12"/>
        <v>0</v>
      </c>
      <c r="DE24" s="326"/>
      <c r="DF24" s="201">
        <f t="shared" si="13"/>
        <v>0</v>
      </c>
      <c r="DG24" s="202">
        <f t="shared" si="14"/>
        <v>0</v>
      </c>
      <c r="DH24" s="202">
        <f t="shared" si="15"/>
        <v>0</v>
      </c>
      <c r="DI24" s="202">
        <f t="shared" si="16"/>
        <v>0</v>
      </c>
      <c r="DJ24" s="202">
        <f t="shared" si="17"/>
        <v>0</v>
      </c>
      <c r="DK24" s="202">
        <f t="shared" si="18"/>
        <v>0</v>
      </c>
      <c r="DL24" s="202">
        <f t="shared" si="19"/>
        <v>0</v>
      </c>
      <c r="DM24" s="202">
        <f t="shared" si="20"/>
        <v>0</v>
      </c>
      <c r="DN24" s="202">
        <f t="shared" si="21"/>
        <v>0</v>
      </c>
      <c r="DO24" s="203">
        <f t="shared" si="22"/>
        <v>0</v>
      </c>
      <c r="DP24" s="326" t="s">
        <v>327</v>
      </c>
      <c r="DQ24" s="200">
        <f t="shared" si="30"/>
        <v>0</v>
      </c>
      <c r="DR24" s="154">
        <f t="shared" si="100"/>
        <v>0</v>
      </c>
      <c r="DS24" s="154">
        <f t="shared" si="101"/>
        <v>0</v>
      </c>
      <c r="DT24" s="154">
        <f t="shared" si="102"/>
        <v>0</v>
      </c>
      <c r="DU24" s="154">
        <f t="shared" si="103"/>
        <v>0</v>
      </c>
      <c r="DV24" s="154">
        <f t="shared" si="104"/>
        <v>0</v>
      </c>
      <c r="DW24" s="154">
        <f t="shared" si="105"/>
        <v>0</v>
      </c>
      <c r="DX24" s="154">
        <f t="shared" si="106"/>
        <v>0</v>
      </c>
      <c r="DY24" s="154">
        <f t="shared" si="107"/>
        <v>0</v>
      </c>
      <c r="DZ24" s="154">
        <f t="shared" si="108"/>
        <v>0</v>
      </c>
      <c r="EA24" s="154">
        <f t="shared" si="40"/>
        <v>0</v>
      </c>
      <c r="EB24" s="154">
        <f t="shared" si="109"/>
        <v>0</v>
      </c>
      <c r="EC24" s="326"/>
      <c r="ED24" s="201">
        <f t="shared" si="42"/>
        <v>0</v>
      </c>
      <c r="EE24" s="202">
        <f t="shared" si="128"/>
        <v>0</v>
      </c>
      <c r="EF24" s="202">
        <f t="shared" si="129"/>
        <v>0</v>
      </c>
      <c r="EG24" s="202">
        <f t="shared" si="130"/>
        <v>0</v>
      </c>
      <c r="EH24" s="202">
        <f t="shared" si="131"/>
        <v>0</v>
      </c>
      <c r="EI24" s="202">
        <f t="shared" si="132"/>
        <v>0</v>
      </c>
      <c r="EJ24" s="202">
        <f t="shared" si="133"/>
        <v>0</v>
      </c>
      <c r="EK24" s="202">
        <f t="shared" si="134"/>
        <v>0</v>
      </c>
      <c r="EL24" s="202">
        <f t="shared" si="135"/>
        <v>0</v>
      </c>
      <c r="EM24" s="203">
        <f t="shared" si="136"/>
        <v>0</v>
      </c>
      <c r="EN24" s="326" t="s">
        <v>327</v>
      </c>
      <c r="EO24" s="200">
        <f t="shared" si="43"/>
        <v>0</v>
      </c>
      <c r="EP24" s="154">
        <f t="shared" si="110"/>
        <v>0</v>
      </c>
      <c r="EQ24" s="154">
        <f t="shared" si="111"/>
        <v>0</v>
      </c>
      <c r="ER24" s="154">
        <f t="shared" si="112"/>
        <v>0</v>
      </c>
      <c r="ES24" s="154">
        <f t="shared" si="113"/>
        <v>0</v>
      </c>
      <c r="ET24" s="154">
        <f t="shared" si="114"/>
        <v>0</v>
      </c>
      <c r="EU24" s="154">
        <f t="shared" si="115"/>
        <v>0</v>
      </c>
      <c r="EV24" s="154">
        <f t="shared" si="116"/>
        <v>0</v>
      </c>
      <c r="EW24" s="154">
        <f t="shared" si="117"/>
        <v>0</v>
      </c>
      <c r="EX24" s="154">
        <f t="shared" si="118"/>
        <v>0</v>
      </c>
      <c r="EY24" s="154">
        <f t="shared" si="53"/>
        <v>0</v>
      </c>
      <c r="EZ24" s="154">
        <f t="shared" si="119"/>
        <v>0</v>
      </c>
      <c r="FA24" s="326"/>
      <c r="FB24" s="201">
        <f t="shared" si="55"/>
        <v>0</v>
      </c>
      <c r="FC24" s="202">
        <f t="shared" si="137"/>
        <v>0</v>
      </c>
      <c r="FD24" s="202">
        <f t="shared" si="138"/>
        <v>0</v>
      </c>
      <c r="FE24" s="202">
        <f t="shared" si="139"/>
        <v>0</v>
      </c>
      <c r="FF24" s="202">
        <f t="shared" si="140"/>
        <v>0</v>
      </c>
      <c r="FG24" s="202">
        <f t="shared" si="141"/>
        <v>0</v>
      </c>
      <c r="FH24" s="202">
        <f t="shared" si="142"/>
        <v>0</v>
      </c>
      <c r="FI24" s="202">
        <f t="shared" si="143"/>
        <v>0</v>
      </c>
      <c r="FJ24" s="202">
        <f t="shared" si="144"/>
        <v>0</v>
      </c>
      <c r="FK24" s="203">
        <f t="shared" si="145"/>
        <v>0</v>
      </c>
    </row>
    <row r="25" spans="1:167" s="6" customFormat="1">
      <c r="A25" s="204" t="s">
        <v>152</v>
      </c>
      <c r="B25" s="204" t="s">
        <v>156</v>
      </c>
      <c r="C25" s="205" t="s">
        <v>455</v>
      </c>
      <c r="D25" s="206">
        <f t="shared" si="56"/>
        <v>20</v>
      </c>
      <c r="E25" s="327" t="s">
        <v>327</v>
      </c>
      <c r="F25" s="219">
        <v>15188000</v>
      </c>
      <c r="G25" s="219">
        <v>15846000</v>
      </c>
      <c r="H25" s="219">
        <v>16502000</v>
      </c>
      <c r="I25" s="219"/>
      <c r="J25" s="219"/>
      <c r="K25" s="219"/>
      <c r="L25" s="479" t="s">
        <v>897</v>
      </c>
      <c r="M25" s="480" t="s">
        <v>794</v>
      </c>
      <c r="N25" s="327" t="s">
        <v>327</v>
      </c>
      <c r="O25" s="433"/>
      <c r="P25" s="209"/>
      <c r="Q25" s="209"/>
      <c r="R25" s="219">
        <f>H25*1.04</f>
        <v>17162080</v>
      </c>
      <c r="S25" s="207"/>
      <c r="T25" s="207"/>
      <c r="U25" s="479" t="s">
        <v>843</v>
      </c>
      <c r="V25" s="480" t="s">
        <v>893</v>
      </c>
      <c r="W25" s="326" t="s">
        <v>327</v>
      </c>
      <c r="X25" s="436">
        <v>0</v>
      </c>
      <c r="Y25" s="207">
        <v>0</v>
      </c>
      <c r="Z25" s="207">
        <v>0</v>
      </c>
      <c r="AA25" s="207">
        <v>0</v>
      </c>
      <c r="AB25" s="207">
        <v>24577489</v>
      </c>
      <c r="AC25" s="207"/>
      <c r="AD25" s="207">
        <v>24577489</v>
      </c>
      <c r="AE25" s="207" t="s">
        <v>644</v>
      </c>
      <c r="AF25" s="215" t="s">
        <v>241</v>
      </c>
      <c r="AG25" s="326" t="s">
        <v>327</v>
      </c>
      <c r="AH25" s="436">
        <f t="shared" ref="AH25" si="147">F25</f>
        <v>15188000</v>
      </c>
      <c r="AI25" s="207">
        <f t="shared" ref="AI25" si="148">G25</f>
        <v>15846000</v>
      </c>
      <c r="AJ25" s="207">
        <f t="shared" ref="AJ25" si="149">H25</f>
        <v>16502000</v>
      </c>
      <c r="AK25" s="207">
        <f>R25</f>
        <v>17162080</v>
      </c>
      <c r="AL25" s="207"/>
      <c r="AM25" s="207"/>
      <c r="AN25" s="207">
        <f t="shared" si="0"/>
        <v>17162080</v>
      </c>
      <c r="AO25" s="207" t="str">
        <f t="shared" ref="AO25" si="150">L25</f>
        <v>NCI 2009</v>
      </c>
      <c r="AP25" s="215" t="str">
        <f>V25</f>
        <v>Assume market continues to grow at same rate</v>
      </c>
      <c r="AQ25" s="326" t="s">
        <v>327</v>
      </c>
      <c r="AR25" s="441" t="s">
        <v>776</v>
      </c>
      <c r="AS25" s="512">
        <v>0.17</v>
      </c>
      <c r="AT25" s="479" t="s">
        <v>897</v>
      </c>
      <c r="AU25" s="480" t="s">
        <v>795</v>
      </c>
      <c r="AV25" s="326" t="s">
        <v>327</v>
      </c>
      <c r="AW25" s="446">
        <v>0.23799999699999999</v>
      </c>
      <c r="AX25" s="214">
        <v>1</v>
      </c>
      <c r="AY25" s="211" t="s">
        <v>274</v>
      </c>
      <c r="AZ25" s="211"/>
      <c r="BA25" s="211">
        <v>32</v>
      </c>
      <c r="BB25" s="211">
        <v>41.6</v>
      </c>
      <c r="BC25" s="211" t="s">
        <v>294</v>
      </c>
      <c r="BD25" s="211">
        <v>32</v>
      </c>
      <c r="BE25" s="211">
        <v>80</v>
      </c>
      <c r="BF25" s="215" t="s">
        <v>294</v>
      </c>
      <c r="BG25" s="326" t="s">
        <v>327</v>
      </c>
      <c r="BH25" s="446">
        <v>0</v>
      </c>
      <c r="BI25" s="214">
        <v>0</v>
      </c>
      <c r="BJ25" s="211" t="s">
        <v>400</v>
      </c>
      <c r="BK25" s="211"/>
      <c r="BL25" s="211" t="s">
        <v>283</v>
      </c>
      <c r="BM25" s="211" t="s">
        <v>283</v>
      </c>
      <c r="BN25" s="211" t="s">
        <v>272</v>
      </c>
      <c r="BO25" s="211"/>
      <c r="BP25" s="211"/>
      <c r="BQ25" s="215"/>
      <c r="BR25" s="326" t="s">
        <v>327</v>
      </c>
      <c r="BS25" s="453">
        <v>1</v>
      </c>
      <c r="BT25" s="216">
        <v>0</v>
      </c>
      <c r="BU25" s="216">
        <v>0</v>
      </c>
      <c r="BV25" s="216">
        <v>1</v>
      </c>
      <c r="BW25" s="216">
        <v>0</v>
      </c>
      <c r="BX25" s="216">
        <v>0</v>
      </c>
      <c r="BY25" s="216">
        <v>0</v>
      </c>
      <c r="BZ25" s="216">
        <v>0</v>
      </c>
      <c r="CA25" s="216">
        <v>0</v>
      </c>
      <c r="CB25" s="216">
        <v>0</v>
      </c>
      <c r="CC25" s="216">
        <v>0</v>
      </c>
      <c r="CD25" s="217">
        <v>0</v>
      </c>
      <c r="CE25" s="215" t="s">
        <v>437</v>
      </c>
      <c r="CF25" s="326" t="s">
        <v>327</v>
      </c>
      <c r="CG25" s="377">
        <v>0</v>
      </c>
      <c r="CH25" s="378">
        <v>0</v>
      </c>
      <c r="CI25" s="378">
        <v>0</v>
      </c>
      <c r="CJ25" s="378">
        <v>0</v>
      </c>
      <c r="CK25" s="378">
        <v>0</v>
      </c>
      <c r="CL25" s="378">
        <v>0</v>
      </c>
      <c r="CM25" s="378">
        <v>0</v>
      </c>
      <c r="CN25" s="378">
        <v>0</v>
      </c>
      <c r="CO25" s="378">
        <v>0</v>
      </c>
      <c r="CP25" s="385">
        <v>0</v>
      </c>
      <c r="CQ25" s="215" t="s">
        <v>437</v>
      </c>
      <c r="CR25" s="326" t="s">
        <v>327</v>
      </c>
      <c r="CS25" s="218">
        <f t="shared" si="1"/>
        <v>4084574.9885137598</v>
      </c>
      <c r="CT25" s="219">
        <f t="shared" si="2"/>
        <v>0</v>
      </c>
      <c r="CU25" s="219">
        <f t="shared" si="3"/>
        <v>0</v>
      </c>
      <c r="CV25" s="219">
        <f t="shared" si="4"/>
        <v>4084574.9885137598</v>
      </c>
      <c r="CW25" s="219">
        <f t="shared" si="5"/>
        <v>0</v>
      </c>
      <c r="CX25" s="219">
        <f t="shared" si="6"/>
        <v>0</v>
      </c>
      <c r="CY25" s="219">
        <f t="shared" si="7"/>
        <v>0</v>
      </c>
      <c r="CZ25" s="219">
        <f t="shared" si="8"/>
        <v>0</v>
      </c>
      <c r="DA25" s="219">
        <f t="shared" si="9"/>
        <v>0</v>
      </c>
      <c r="DB25" s="219">
        <f t="shared" si="10"/>
        <v>0</v>
      </c>
      <c r="DC25" s="219">
        <f t="shared" si="11"/>
        <v>0</v>
      </c>
      <c r="DD25" s="219">
        <f t="shared" si="12"/>
        <v>0</v>
      </c>
      <c r="DE25" s="326"/>
      <c r="DF25" s="220">
        <f t="shared" si="13"/>
        <v>0</v>
      </c>
      <c r="DG25" s="221">
        <f t="shared" si="14"/>
        <v>0</v>
      </c>
      <c r="DH25" s="221">
        <f t="shared" si="15"/>
        <v>0</v>
      </c>
      <c r="DI25" s="221">
        <f t="shared" si="16"/>
        <v>0</v>
      </c>
      <c r="DJ25" s="221">
        <f t="shared" si="17"/>
        <v>0</v>
      </c>
      <c r="DK25" s="221">
        <f t="shared" si="18"/>
        <v>0</v>
      </c>
      <c r="DL25" s="221">
        <f t="shared" si="19"/>
        <v>0</v>
      </c>
      <c r="DM25" s="221">
        <f t="shared" si="20"/>
        <v>0</v>
      </c>
      <c r="DN25" s="221">
        <f t="shared" si="21"/>
        <v>0</v>
      </c>
      <c r="DO25" s="222">
        <f t="shared" si="22"/>
        <v>0</v>
      </c>
      <c r="DP25" s="326" t="s">
        <v>327</v>
      </c>
      <c r="DQ25" s="218">
        <f t="shared" si="30"/>
        <v>3390197.2404664205</v>
      </c>
      <c r="DR25" s="219">
        <f t="shared" si="100"/>
        <v>0</v>
      </c>
      <c r="DS25" s="219">
        <f t="shared" si="101"/>
        <v>0</v>
      </c>
      <c r="DT25" s="219">
        <f t="shared" si="102"/>
        <v>3390197.2404664205</v>
      </c>
      <c r="DU25" s="219">
        <f t="shared" si="103"/>
        <v>0</v>
      </c>
      <c r="DV25" s="219">
        <f t="shared" si="104"/>
        <v>0</v>
      </c>
      <c r="DW25" s="219">
        <f t="shared" si="105"/>
        <v>0</v>
      </c>
      <c r="DX25" s="219">
        <f t="shared" si="106"/>
        <v>0</v>
      </c>
      <c r="DY25" s="219">
        <f t="shared" si="107"/>
        <v>0</v>
      </c>
      <c r="DZ25" s="219">
        <f t="shared" si="108"/>
        <v>0</v>
      </c>
      <c r="EA25" s="219">
        <f t="shared" si="40"/>
        <v>0</v>
      </c>
      <c r="EB25" s="219">
        <f t="shared" si="109"/>
        <v>0</v>
      </c>
      <c r="EC25" s="326"/>
      <c r="ED25" s="220">
        <f t="shared" si="42"/>
        <v>0</v>
      </c>
      <c r="EE25" s="221">
        <f t="shared" si="128"/>
        <v>0</v>
      </c>
      <c r="EF25" s="221">
        <f t="shared" si="129"/>
        <v>0</v>
      </c>
      <c r="EG25" s="221">
        <f t="shared" si="130"/>
        <v>0</v>
      </c>
      <c r="EH25" s="221">
        <f t="shared" si="131"/>
        <v>0</v>
      </c>
      <c r="EI25" s="221">
        <f t="shared" si="132"/>
        <v>0</v>
      </c>
      <c r="EJ25" s="221">
        <f t="shared" si="133"/>
        <v>0</v>
      </c>
      <c r="EK25" s="221">
        <f t="shared" si="134"/>
        <v>0</v>
      </c>
      <c r="EL25" s="221">
        <f t="shared" si="135"/>
        <v>0</v>
      </c>
      <c r="EM25" s="222">
        <f t="shared" si="136"/>
        <v>0</v>
      </c>
      <c r="EN25" s="326" t="s">
        <v>327</v>
      </c>
      <c r="EO25" s="218">
        <f t="shared" si="43"/>
        <v>694377.74804733926</v>
      </c>
      <c r="EP25" s="219">
        <f t="shared" si="110"/>
        <v>0</v>
      </c>
      <c r="EQ25" s="219">
        <f t="shared" si="111"/>
        <v>0</v>
      </c>
      <c r="ER25" s="219">
        <f t="shared" si="112"/>
        <v>694377.74804733926</v>
      </c>
      <c r="ES25" s="219">
        <f t="shared" si="113"/>
        <v>0</v>
      </c>
      <c r="ET25" s="219">
        <f t="shared" si="114"/>
        <v>0</v>
      </c>
      <c r="EU25" s="219">
        <f t="shared" si="115"/>
        <v>0</v>
      </c>
      <c r="EV25" s="219">
        <f t="shared" si="116"/>
        <v>0</v>
      </c>
      <c r="EW25" s="219">
        <f t="shared" si="117"/>
        <v>0</v>
      </c>
      <c r="EX25" s="219">
        <f t="shared" si="118"/>
        <v>0</v>
      </c>
      <c r="EY25" s="219">
        <f t="shared" si="53"/>
        <v>0</v>
      </c>
      <c r="EZ25" s="219">
        <f t="shared" si="119"/>
        <v>0</v>
      </c>
      <c r="FA25" s="326"/>
      <c r="FB25" s="220">
        <f t="shared" si="55"/>
        <v>0</v>
      </c>
      <c r="FC25" s="221">
        <f t="shared" si="137"/>
        <v>0</v>
      </c>
      <c r="FD25" s="221">
        <f t="shared" si="138"/>
        <v>0</v>
      </c>
      <c r="FE25" s="221">
        <f t="shared" si="139"/>
        <v>0</v>
      </c>
      <c r="FF25" s="221">
        <f t="shared" si="140"/>
        <v>0</v>
      </c>
      <c r="FG25" s="221">
        <f t="shared" si="141"/>
        <v>0</v>
      </c>
      <c r="FH25" s="221">
        <f t="shared" si="142"/>
        <v>0</v>
      </c>
      <c r="FI25" s="221">
        <f t="shared" si="143"/>
        <v>0</v>
      </c>
      <c r="FJ25" s="221">
        <f t="shared" si="144"/>
        <v>0</v>
      </c>
      <c r="FK25" s="222">
        <f t="shared" si="145"/>
        <v>0</v>
      </c>
    </row>
    <row r="26" spans="1:167" s="6" customFormat="1">
      <c r="A26" s="186" t="s">
        <v>152</v>
      </c>
      <c r="B26" s="186" t="s">
        <v>156</v>
      </c>
      <c r="C26" s="187" t="s">
        <v>112</v>
      </c>
      <c r="D26" s="188">
        <f t="shared" si="56"/>
        <v>21</v>
      </c>
      <c r="E26" s="327" t="s">
        <v>327</v>
      </c>
      <c r="F26" s="154"/>
      <c r="G26" s="154"/>
      <c r="H26" s="154"/>
      <c r="I26" s="154"/>
      <c r="J26" s="154"/>
      <c r="K26" s="154"/>
      <c r="L26" s="481"/>
      <c r="M26" s="478"/>
      <c r="N26" s="327" t="s">
        <v>327</v>
      </c>
      <c r="O26" s="432"/>
      <c r="P26" s="191"/>
      <c r="Q26" s="191"/>
      <c r="R26" s="154">
        <f>AB26*1.04</f>
        <v>1278028.96</v>
      </c>
      <c r="S26" s="189"/>
      <c r="T26" s="189"/>
      <c r="U26" s="481" t="s">
        <v>843</v>
      </c>
      <c r="V26" s="478" t="s">
        <v>894</v>
      </c>
      <c r="W26" s="326" t="s">
        <v>327</v>
      </c>
      <c r="X26" s="435">
        <v>0</v>
      </c>
      <c r="Y26" s="189">
        <v>0</v>
      </c>
      <c r="Z26" s="189">
        <v>0</v>
      </c>
      <c r="AA26" s="189">
        <v>0</v>
      </c>
      <c r="AB26" s="189">
        <v>1228874</v>
      </c>
      <c r="AC26" s="189"/>
      <c r="AD26" s="189">
        <v>1228874</v>
      </c>
      <c r="AE26" s="189" t="s">
        <v>249</v>
      </c>
      <c r="AF26" s="478" t="s">
        <v>1213</v>
      </c>
      <c r="AG26" s="326" t="s">
        <v>327</v>
      </c>
      <c r="AH26" s="435"/>
      <c r="AI26" s="189"/>
      <c r="AJ26" s="189">
        <f>AB26</f>
        <v>1228874</v>
      </c>
      <c r="AK26" s="189">
        <f>R26</f>
        <v>1278028.96</v>
      </c>
      <c r="AL26" s="189"/>
      <c r="AM26" s="189"/>
      <c r="AN26" s="189">
        <f t="shared" si="0"/>
        <v>1278028.96</v>
      </c>
      <c r="AO26" s="154" t="str">
        <f>U25</f>
        <v>DOE estimate</v>
      </c>
      <c r="AP26" s="197" t="str">
        <f>V25</f>
        <v>Assume market continues to grow at same rate</v>
      </c>
      <c r="AQ26" s="326" t="s">
        <v>327</v>
      </c>
      <c r="AR26" s="439" t="s">
        <v>776</v>
      </c>
      <c r="AS26" s="511">
        <v>0.55000000000000004</v>
      </c>
      <c r="AT26" s="481" t="s">
        <v>244</v>
      </c>
      <c r="AU26" s="197" t="s">
        <v>892</v>
      </c>
      <c r="AV26" s="326" t="s">
        <v>327</v>
      </c>
      <c r="AW26" s="445">
        <v>1</v>
      </c>
      <c r="AX26" s="196">
        <v>1</v>
      </c>
      <c r="AY26" s="193" t="s">
        <v>272</v>
      </c>
      <c r="AZ26" s="193"/>
      <c r="BA26" s="193">
        <v>18</v>
      </c>
      <c r="BB26" s="193">
        <v>36</v>
      </c>
      <c r="BC26" s="193" t="s">
        <v>294</v>
      </c>
      <c r="BD26" s="193">
        <v>16</v>
      </c>
      <c r="BE26" s="193">
        <v>32</v>
      </c>
      <c r="BF26" s="197" t="s">
        <v>272</v>
      </c>
      <c r="BG26" s="326" t="s">
        <v>327</v>
      </c>
      <c r="BH26" s="445">
        <v>0.75</v>
      </c>
      <c r="BI26" s="196">
        <v>1</v>
      </c>
      <c r="BJ26" s="193" t="s">
        <v>272</v>
      </c>
      <c r="BK26" s="193"/>
      <c r="BL26" s="193">
        <v>11.1</v>
      </c>
      <c r="BM26" s="193">
        <v>25.23</v>
      </c>
      <c r="BN26" s="193" t="s">
        <v>272</v>
      </c>
      <c r="BO26" s="193">
        <v>7.4</v>
      </c>
      <c r="BP26" s="193">
        <v>3.33</v>
      </c>
      <c r="BQ26" s="197" t="s">
        <v>272</v>
      </c>
      <c r="BR26" s="326" t="s">
        <v>327</v>
      </c>
      <c r="BS26" s="452">
        <v>1</v>
      </c>
      <c r="BT26" s="198">
        <v>0</v>
      </c>
      <c r="BU26" s="198">
        <v>1</v>
      </c>
      <c r="BV26" s="198">
        <v>0</v>
      </c>
      <c r="BW26" s="198">
        <v>0</v>
      </c>
      <c r="BX26" s="198">
        <v>0</v>
      </c>
      <c r="BY26" s="198">
        <v>0</v>
      </c>
      <c r="BZ26" s="198">
        <v>0</v>
      </c>
      <c r="CA26" s="198">
        <v>0</v>
      </c>
      <c r="CB26" s="198">
        <v>0</v>
      </c>
      <c r="CC26" s="198">
        <v>0</v>
      </c>
      <c r="CD26" s="199">
        <v>0</v>
      </c>
      <c r="CE26" s="197" t="s">
        <v>249</v>
      </c>
      <c r="CF26" s="326" t="s">
        <v>327</v>
      </c>
      <c r="CG26" s="379">
        <v>0</v>
      </c>
      <c r="CH26" s="380">
        <v>0</v>
      </c>
      <c r="CI26" s="380">
        <v>0.25</v>
      </c>
      <c r="CJ26" s="380">
        <v>0.75</v>
      </c>
      <c r="CK26" s="380">
        <v>0</v>
      </c>
      <c r="CL26" s="380">
        <v>0</v>
      </c>
      <c r="CM26" s="380">
        <v>0</v>
      </c>
      <c r="CN26" s="380">
        <v>0</v>
      </c>
      <c r="CO26" s="380">
        <v>0</v>
      </c>
      <c r="CP26" s="386">
        <v>0</v>
      </c>
      <c r="CQ26" s="197" t="s">
        <v>249</v>
      </c>
      <c r="CR26" s="326" t="s">
        <v>327</v>
      </c>
      <c r="CS26" s="200">
        <f t="shared" si="1"/>
        <v>1278028.96</v>
      </c>
      <c r="CT26" s="154">
        <f t="shared" si="2"/>
        <v>0</v>
      </c>
      <c r="CU26" s="154">
        <f t="shared" si="3"/>
        <v>1278028.96</v>
      </c>
      <c r="CV26" s="154">
        <f t="shared" si="4"/>
        <v>0</v>
      </c>
      <c r="CW26" s="154">
        <f t="shared" si="5"/>
        <v>0</v>
      </c>
      <c r="CX26" s="154">
        <f t="shared" si="6"/>
        <v>0</v>
      </c>
      <c r="CY26" s="154">
        <f t="shared" si="7"/>
        <v>0</v>
      </c>
      <c r="CZ26" s="154">
        <f t="shared" si="8"/>
        <v>0</v>
      </c>
      <c r="DA26" s="154">
        <f t="shared" si="9"/>
        <v>0</v>
      </c>
      <c r="DB26" s="154">
        <f t="shared" si="10"/>
        <v>0</v>
      </c>
      <c r="DC26" s="154">
        <f t="shared" si="11"/>
        <v>0</v>
      </c>
      <c r="DD26" s="154">
        <f t="shared" si="12"/>
        <v>0</v>
      </c>
      <c r="DE26" s="326"/>
      <c r="DF26" s="201">
        <f t="shared" si="13"/>
        <v>0</v>
      </c>
      <c r="DG26" s="202">
        <f t="shared" si="14"/>
        <v>0</v>
      </c>
      <c r="DH26" s="202">
        <f t="shared" si="15"/>
        <v>239630.43</v>
      </c>
      <c r="DI26" s="202">
        <f t="shared" si="16"/>
        <v>718891.29</v>
      </c>
      <c r="DJ26" s="202">
        <f t="shared" si="17"/>
        <v>0</v>
      </c>
      <c r="DK26" s="202">
        <f t="shared" si="18"/>
        <v>0</v>
      </c>
      <c r="DL26" s="202">
        <f t="shared" si="19"/>
        <v>0</v>
      </c>
      <c r="DM26" s="202">
        <f t="shared" si="20"/>
        <v>0</v>
      </c>
      <c r="DN26" s="202">
        <f t="shared" si="21"/>
        <v>0</v>
      </c>
      <c r="DO26" s="203">
        <f t="shared" si="22"/>
        <v>0</v>
      </c>
      <c r="DP26" s="326" t="s">
        <v>327</v>
      </c>
      <c r="DQ26" s="200">
        <f t="shared" si="30"/>
        <v>575113.03199999989</v>
      </c>
      <c r="DR26" s="154">
        <f t="shared" si="100"/>
        <v>0</v>
      </c>
      <c r="DS26" s="154">
        <f t="shared" si="101"/>
        <v>575113.03199999989</v>
      </c>
      <c r="DT26" s="154">
        <f t="shared" si="102"/>
        <v>0</v>
      </c>
      <c r="DU26" s="154">
        <f t="shared" si="103"/>
        <v>0</v>
      </c>
      <c r="DV26" s="154">
        <f t="shared" si="104"/>
        <v>0</v>
      </c>
      <c r="DW26" s="154">
        <f t="shared" si="105"/>
        <v>0</v>
      </c>
      <c r="DX26" s="154">
        <f t="shared" si="106"/>
        <v>0</v>
      </c>
      <c r="DY26" s="154">
        <f t="shared" si="107"/>
        <v>0</v>
      </c>
      <c r="DZ26" s="154">
        <f t="shared" si="108"/>
        <v>0</v>
      </c>
      <c r="EA26" s="154">
        <f t="shared" si="40"/>
        <v>0</v>
      </c>
      <c r="EB26" s="154">
        <f t="shared" si="109"/>
        <v>0</v>
      </c>
      <c r="EC26" s="326"/>
      <c r="ED26" s="201">
        <f t="shared" si="42"/>
        <v>0</v>
      </c>
      <c r="EE26" s="202">
        <f t="shared" si="128"/>
        <v>0</v>
      </c>
      <c r="EF26" s="202">
        <f t="shared" si="129"/>
        <v>107833.69349999998</v>
      </c>
      <c r="EG26" s="202">
        <f t="shared" si="130"/>
        <v>323501.08049999998</v>
      </c>
      <c r="EH26" s="202">
        <f t="shared" si="131"/>
        <v>0</v>
      </c>
      <c r="EI26" s="202">
        <f t="shared" si="132"/>
        <v>0</v>
      </c>
      <c r="EJ26" s="202">
        <f t="shared" si="133"/>
        <v>0</v>
      </c>
      <c r="EK26" s="202">
        <f t="shared" si="134"/>
        <v>0</v>
      </c>
      <c r="EL26" s="202">
        <f t="shared" si="135"/>
        <v>0</v>
      </c>
      <c r="EM26" s="203">
        <f t="shared" si="136"/>
        <v>0</v>
      </c>
      <c r="EN26" s="326" t="s">
        <v>327</v>
      </c>
      <c r="EO26" s="200">
        <f t="shared" si="43"/>
        <v>702915.92800000007</v>
      </c>
      <c r="EP26" s="154">
        <f t="shared" si="110"/>
        <v>0</v>
      </c>
      <c r="EQ26" s="154">
        <f t="shared" si="111"/>
        <v>702915.92800000007</v>
      </c>
      <c r="ER26" s="154">
        <f t="shared" si="112"/>
        <v>0</v>
      </c>
      <c r="ES26" s="154">
        <f t="shared" si="113"/>
        <v>0</v>
      </c>
      <c r="ET26" s="154">
        <f t="shared" si="114"/>
        <v>0</v>
      </c>
      <c r="EU26" s="154">
        <f t="shared" si="115"/>
        <v>0</v>
      </c>
      <c r="EV26" s="154">
        <f t="shared" si="116"/>
        <v>0</v>
      </c>
      <c r="EW26" s="154">
        <f t="shared" si="117"/>
        <v>0</v>
      </c>
      <c r="EX26" s="154">
        <f t="shared" si="118"/>
        <v>0</v>
      </c>
      <c r="EY26" s="154">
        <f t="shared" si="53"/>
        <v>0</v>
      </c>
      <c r="EZ26" s="154">
        <f t="shared" si="119"/>
        <v>0</v>
      </c>
      <c r="FA26" s="326"/>
      <c r="FB26" s="201">
        <f t="shared" si="55"/>
        <v>0</v>
      </c>
      <c r="FC26" s="202">
        <f t="shared" si="137"/>
        <v>0</v>
      </c>
      <c r="FD26" s="202">
        <f t="shared" si="138"/>
        <v>131796.7365</v>
      </c>
      <c r="FE26" s="202">
        <f t="shared" si="139"/>
        <v>395390.20950000006</v>
      </c>
      <c r="FF26" s="202">
        <f t="shared" si="140"/>
        <v>0</v>
      </c>
      <c r="FG26" s="202">
        <f t="shared" si="141"/>
        <v>0</v>
      </c>
      <c r="FH26" s="202">
        <f t="shared" si="142"/>
        <v>0</v>
      </c>
      <c r="FI26" s="202">
        <f t="shared" si="143"/>
        <v>0</v>
      </c>
      <c r="FJ26" s="202">
        <f t="shared" si="144"/>
        <v>0</v>
      </c>
      <c r="FK26" s="203">
        <f t="shared" si="145"/>
        <v>0</v>
      </c>
    </row>
    <row r="27" spans="1:167" s="6" customFormat="1">
      <c r="A27" s="204" t="s">
        <v>152</v>
      </c>
      <c r="B27" s="204" t="s">
        <v>157</v>
      </c>
      <c r="C27" s="205" t="s">
        <v>113</v>
      </c>
      <c r="D27" s="206">
        <f t="shared" si="56"/>
        <v>22</v>
      </c>
      <c r="E27" s="327" t="s">
        <v>327</v>
      </c>
      <c r="F27" s="219">
        <v>20000</v>
      </c>
      <c r="G27" s="219">
        <v>147000</v>
      </c>
      <c r="H27" s="219">
        <v>580000</v>
      </c>
      <c r="I27" s="219">
        <v>2200000</v>
      </c>
      <c r="J27" s="219">
        <v>6435000</v>
      </c>
      <c r="K27" s="219">
        <v>9627000</v>
      </c>
      <c r="L27" s="479" t="s">
        <v>895</v>
      </c>
      <c r="M27" s="480" t="s">
        <v>327</v>
      </c>
      <c r="N27" s="327" t="s">
        <v>327</v>
      </c>
      <c r="O27" s="209"/>
      <c r="P27" s="209"/>
      <c r="Q27" s="209"/>
      <c r="R27" s="209"/>
      <c r="S27" s="207"/>
      <c r="T27" s="207"/>
      <c r="U27" s="211"/>
      <c r="V27" s="211"/>
      <c r="W27" s="326" t="s">
        <v>327</v>
      </c>
      <c r="X27" s="207">
        <v>0</v>
      </c>
      <c r="Y27" s="207">
        <v>0</v>
      </c>
      <c r="Z27" s="207">
        <v>20000</v>
      </c>
      <c r="AA27" s="207">
        <v>147000</v>
      </c>
      <c r="AB27" s="207">
        <v>580000</v>
      </c>
      <c r="AC27" s="207">
        <v>1195000</v>
      </c>
      <c r="AD27" s="207">
        <v>580000</v>
      </c>
      <c r="AE27" s="207" t="s">
        <v>643</v>
      </c>
      <c r="AF27" s="211" t="s">
        <v>246</v>
      </c>
      <c r="AG27" s="326" t="s">
        <v>327</v>
      </c>
      <c r="AH27" s="207">
        <f t="shared" ref="AH27" si="151">F27</f>
        <v>20000</v>
      </c>
      <c r="AI27" s="207">
        <f t="shared" ref="AI27" si="152">G27</f>
        <v>147000</v>
      </c>
      <c r="AJ27" s="207">
        <f t="shared" ref="AJ27" si="153">H27</f>
        <v>580000</v>
      </c>
      <c r="AK27" s="207">
        <f t="shared" ref="AK27" si="154">I27</f>
        <v>2200000</v>
      </c>
      <c r="AL27" s="207">
        <f t="shared" ref="AL27" si="155">J27</f>
        <v>6435000</v>
      </c>
      <c r="AM27" s="207">
        <f t="shared" ref="AM27" si="156">K27</f>
        <v>9627000</v>
      </c>
      <c r="AN27" s="207">
        <f t="shared" si="0"/>
        <v>2200000</v>
      </c>
      <c r="AO27" s="207" t="str">
        <f t="shared" ref="AO27" si="157">L27</f>
        <v>CEA 2010</v>
      </c>
      <c r="AP27" s="211" t="str">
        <f t="shared" ref="AP27" si="158">M27</f>
        <v xml:space="preserve"> </v>
      </c>
      <c r="AQ27" s="326" t="s">
        <v>327</v>
      </c>
      <c r="AR27" s="212" t="s">
        <v>775</v>
      </c>
      <c r="AS27" s="512">
        <v>0</v>
      </c>
      <c r="AT27" s="211"/>
      <c r="AU27" s="211"/>
      <c r="AV27" s="326" t="s">
        <v>327</v>
      </c>
      <c r="AW27" s="213">
        <v>0.9</v>
      </c>
      <c r="AX27" s="214">
        <v>1</v>
      </c>
      <c r="AY27" s="211" t="s">
        <v>249</v>
      </c>
      <c r="AZ27" s="211"/>
      <c r="BA27" s="211">
        <v>4.9000000000000004</v>
      </c>
      <c r="BB27" s="211">
        <v>4.2</v>
      </c>
      <c r="BC27" s="211" t="s">
        <v>317</v>
      </c>
      <c r="BD27" s="211"/>
      <c r="BE27" s="211"/>
      <c r="BF27" s="215"/>
      <c r="BG27" s="326" t="s">
        <v>327</v>
      </c>
      <c r="BH27" s="213">
        <v>1</v>
      </c>
      <c r="BI27" s="214">
        <v>1</v>
      </c>
      <c r="BJ27" s="211" t="s">
        <v>274</v>
      </c>
      <c r="BK27" s="211"/>
      <c r="BL27" s="211">
        <f>BL11</f>
        <v>3.7</v>
      </c>
      <c r="BM27" s="211">
        <v>5.6609999999999996</v>
      </c>
      <c r="BN27" s="211" t="s">
        <v>249</v>
      </c>
      <c r="BO27" s="211"/>
      <c r="BP27" s="211"/>
      <c r="BQ27" s="211"/>
      <c r="BR27" s="326" t="s">
        <v>327</v>
      </c>
      <c r="BS27" s="216">
        <v>0.1</v>
      </c>
      <c r="BT27" s="216">
        <v>0.1</v>
      </c>
      <c r="BU27" s="216">
        <v>0</v>
      </c>
      <c r="BV27" s="216">
        <v>0</v>
      </c>
      <c r="BW27" s="216">
        <v>0</v>
      </c>
      <c r="BX27" s="216">
        <v>0.9</v>
      </c>
      <c r="BY27" s="216">
        <v>0</v>
      </c>
      <c r="BZ27" s="216">
        <v>0</v>
      </c>
      <c r="CA27" s="216">
        <v>0</v>
      </c>
      <c r="CB27" s="216">
        <v>0</v>
      </c>
      <c r="CC27" s="216">
        <v>0</v>
      </c>
      <c r="CD27" s="217">
        <v>0</v>
      </c>
      <c r="CE27" s="211" t="s">
        <v>249</v>
      </c>
      <c r="CF27" s="326" t="s">
        <v>327</v>
      </c>
      <c r="CG27" s="377">
        <v>0</v>
      </c>
      <c r="CH27" s="378">
        <v>0.8</v>
      </c>
      <c r="CI27" s="378">
        <v>0</v>
      </c>
      <c r="CJ27" s="378">
        <v>0</v>
      </c>
      <c r="CK27" s="378">
        <v>0</v>
      </c>
      <c r="CL27" s="378">
        <v>0</v>
      </c>
      <c r="CM27" s="378">
        <v>0</v>
      </c>
      <c r="CN27" s="378">
        <v>0.2</v>
      </c>
      <c r="CO27" s="378">
        <v>0</v>
      </c>
      <c r="CP27" s="385">
        <v>0</v>
      </c>
      <c r="CQ27" s="211" t="s">
        <v>249</v>
      </c>
      <c r="CR27" s="326" t="s">
        <v>327</v>
      </c>
      <c r="CS27" s="218">
        <f t="shared" si="1"/>
        <v>198000</v>
      </c>
      <c r="CT27" s="219">
        <f t="shared" si="2"/>
        <v>198000</v>
      </c>
      <c r="CU27" s="219">
        <f t="shared" si="3"/>
        <v>0</v>
      </c>
      <c r="CV27" s="219">
        <f t="shared" si="4"/>
        <v>0</v>
      </c>
      <c r="CW27" s="219">
        <f t="shared" si="5"/>
        <v>0</v>
      </c>
      <c r="CX27" s="219">
        <f t="shared" si="6"/>
        <v>1782000</v>
      </c>
      <c r="CY27" s="219">
        <f t="shared" si="7"/>
        <v>0</v>
      </c>
      <c r="CZ27" s="219">
        <f t="shared" si="8"/>
        <v>0</v>
      </c>
      <c r="DA27" s="219">
        <f t="shared" si="9"/>
        <v>0</v>
      </c>
      <c r="DB27" s="219">
        <f t="shared" si="10"/>
        <v>0</v>
      </c>
      <c r="DC27" s="219">
        <f t="shared" si="11"/>
        <v>0</v>
      </c>
      <c r="DD27" s="219">
        <f t="shared" si="12"/>
        <v>0</v>
      </c>
      <c r="DE27" s="326"/>
      <c r="DF27" s="220">
        <f t="shared" si="13"/>
        <v>0</v>
      </c>
      <c r="DG27" s="221">
        <f t="shared" si="14"/>
        <v>1760000</v>
      </c>
      <c r="DH27" s="221">
        <f t="shared" si="15"/>
        <v>0</v>
      </c>
      <c r="DI27" s="221">
        <f t="shared" si="16"/>
        <v>0</v>
      </c>
      <c r="DJ27" s="221">
        <f t="shared" si="17"/>
        <v>0</v>
      </c>
      <c r="DK27" s="221">
        <f t="shared" si="18"/>
        <v>0</v>
      </c>
      <c r="DL27" s="221">
        <f t="shared" si="19"/>
        <v>0</v>
      </c>
      <c r="DM27" s="221">
        <f t="shared" si="20"/>
        <v>440000</v>
      </c>
      <c r="DN27" s="221">
        <f t="shared" si="21"/>
        <v>0</v>
      </c>
      <c r="DO27" s="222">
        <f t="shared" si="22"/>
        <v>0</v>
      </c>
      <c r="DP27" s="326" t="s">
        <v>327</v>
      </c>
      <c r="DQ27" s="218">
        <f t="shared" si="30"/>
        <v>198000</v>
      </c>
      <c r="DR27" s="219">
        <f t="shared" si="100"/>
        <v>198000</v>
      </c>
      <c r="DS27" s="219">
        <f t="shared" si="101"/>
        <v>0</v>
      </c>
      <c r="DT27" s="219">
        <f t="shared" si="102"/>
        <v>0</v>
      </c>
      <c r="DU27" s="219">
        <f t="shared" si="103"/>
        <v>0</v>
      </c>
      <c r="DV27" s="219">
        <f t="shared" si="104"/>
        <v>1782000</v>
      </c>
      <c r="DW27" s="219">
        <f t="shared" si="105"/>
        <v>0</v>
      </c>
      <c r="DX27" s="219">
        <f t="shared" si="106"/>
        <v>0</v>
      </c>
      <c r="DY27" s="219">
        <f t="shared" si="107"/>
        <v>0</v>
      </c>
      <c r="DZ27" s="219">
        <f t="shared" si="108"/>
        <v>0</v>
      </c>
      <c r="EA27" s="219">
        <f t="shared" si="40"/>
        <v>0</v>
      </c>
      <c r="EB27" s="219">
        <f t="shared" si="109"/>
        <v>0</v>
      </c>
      <c r="EC27" s="326"/>
      <c r="ED27" s="220">
        <f t="shared" si="42"/>
        <v>0</v>
      </c>
      <c r="EE27" s="221">
        <f t="shared" si="128"/>
        <v>1760000</v>
      </c>
      <c r="EF27" s="221">
        <f t="shared" si="129"/>
        <v>0</v>
      </c>
      <c r="EG27" s="221">
        <f t="shared" si="130"/>
        <v>0</v>
      </c>
      <c r="EH27" s="221">
        <f t="shared" si="131"/>
        <v>0</v>
      </c>
      <c r="EI27" s="221">
        <f t="shared" si="132"/>
        <v>0</v>
      </c>
      <c r="EJ27" s="221">
        <f t="shared" si="133"/>
        <v>0</v>
      </c>
      <c r="EK27" s="221">
        <f t="shared" si="134"/>
        <v>440000</v>
      </c>
      <c r="EL27" s="221">
        <f t="shared" si="135"/>
        <v>0</v>
      </c>
      <c r="EM27" s="222">
        <f t="shared" si="136"/>
        <v>0</v>
      </c>
      <c r="EN27" s="326" t="s">
        <v>327</v>
      </c>
      <c r="EO27" s="218">
        <f t="shared" si="43"/>
        <v>0</v>
      </c>
      <c r="EP27" s="219">
        <f t="shared" si="110"/>
        <v>0</v>
      </c>
      <c r="EQ27" s="219">
        <f t="shared" si="111"/>
        <v>0</v>
      </c>
      <c r="ER27" s="219">
        <f t="shared" si="112"/>
        <v>0</v>
      </c>
      <c r="ES27" s="219">
        <f t="shared" si="113"/>
        <v>0</v>
      </c>
      <c r="ET27" s="219">
        <f t="shared" si="114"/>
        <v>0</v>
      </c>
      <c r="EU27" s="219">
        <f t="shared" si="115"/>
        <v>0</v>
      </c>
      <c r="EV27" s="219">
        <f t="shared" si="116"/>
        <v>0</v>
      </c>
      <c r="EW27" s="219">
        <f t="shared" si="117"/>
        <v>0</v>
      </c>
      <c r="EX27" s="219">
        <f t="shared" si="118"/>
        <v>0</v>
      </c>
      <c r="EY27" s="219">
        <f t="shared" si="53"/>
        <v>0</v>
      </c>
      <c r="EZ27" s="219">
        <f t="shared" si="119"/>
        <v>0</v>
      </c>
      <c r="FA27" s="326"/>
      <c r="FB27" s="220">
        <f t="shared" si="55"/>
        <v>0</v>
      </c>
      <c r="FC27" s="221">
        <f t="shared" si="137"/>
        <v>0</v>
      </c>
      <c r="FD27" s="221">
        <f t="shared" si="138"/>
        <v>0</v>
      </c>
      <c r="FE27" s="221">
        <f t="shared" si="139"/>
        <v>0</v>
      </c>
      <c r="FF27" s="221">
        <f t="shared" si="140"/>
        <v>0</v>
      </c>
      <c r="FG27" s="221">
        <f t="shared" si="141"/>
        <v>0</v>
      </c>
      <c r="FH27" s="221">
        <f t="shared" si="142"/>
        <v>0</v>
      </c>
      <c r="FI27" s="221">
        <f t="shared" si="143"/>
        <v>0</v>
      </c>
      <c r="FJ27" s="221">
        <f t="shared" si="144"/>
        <v>0</v>
      </c>
      <c r="FK27" s="222">
        <f t="shared" si="145"/>
        <v>0</v>
      </c>
    </row>
    <row r="28" spans="1:167" s="6" customFormat="1">
      <c r="A28" s="186" t="s">
        <v>152</v>
      </c>
      <c r="B28" s="186" t="s">
        <v>158</v>
      </c>
      <c r="C28" s="187" t="s">
        <v>784</v>
      </c>
      <c r="D28" s="188">
        <f t="shared" si="56"/>
        <v>23</v>
      </c>
      <c r="E28" s="327"/>
      <c r="F28" s="154"/>
      <c r="G28" s="154"/>
      <c r="H28" s="154"/>
      <c r="I28" s="154"/>
      <c r="J28" s="154">
        <v>1445000</v>
      </c>
      <c r="K28" s="154"/>
      <c r="L28" s="481" t="s">
        <v>903</v>
      </c>
      <c r="M28" s="478" t="s">
        <v>904</v>
      </c>
      <c r="N28" s="327" t="s">
        <v>327</v>
      </c>
      <c r="O28" s="432"/>
      <c r="P28" s="191"/>
      <c r="Q28" s="191"/>
      <c r="R28" s="191"/>
      <c r="S28" s="189"/>
      <c r="T28" s="189"/>
      <c r="U28" s="193"/>
      <c r="V28" s="197"/>
      <c r="W28" s="326" t="s">
        <v>327</v>
      </c>
      <c r="X28" s="435"/>
      <c r="Y28" s="189"/>
      <c r="Z28" s="189"/>
      <c r="AA28" s="189"/>
      <c r="AB28" s="189"/>
      <c r="AC28" s="189"/>
      <c r="AD28" s="189"/>
      <c r="AE28" s="189"/>
      <c r="AF28" s="197"/>
      <c r="AG28" s="326"/>
      <c r="AH28" s="435"/>
      <c r="AI28" s="189"/>
      <c r="AJ28" s="189"/>
      <c r="AK28" s="189">
        <f>AL28*0.991</f>
        <v>1431995</v>
      </c>
      <c r="AL28" s="189">
        <f t="shared" ref="AL28" si="159">J28</f>
        <v>1445000</v>
      </c>
      <c r="AM28" s="189"/>
      <c r="AN28" s="189">
        <f t="shared" ref="AN28" si="160">AK28</f>
        <v>1431995</v>
      </c>
      <c r="AO28" s="189" t="str">
        <f t="shared" ref="AO28" si="161">L28</f>
        <v>In-Stat 2010</v>
      </c>
      <c r="AP28" s="197" t="str">
        <f t="shared" ref="AP28" si="162">M28</f>
        <v>"Revenue for standalone mobile hotspot devices will aproach $500 million by the end of 2010." Estimated shipments based on average price for mobile hotspot ($346).</v>
      </c>
      <c r="AQ28" s="326" t="s">
        <v>327</v>
      </c>
      <c r="AR28" s="439" t="s">
        <v>776</v>
      </c>
      <c r="AS28" s="511">
        <v>0.55000000000000004</v>
      </c>
      <c r="AT28" s="193" t="s">
        <v>244</v>
      </c>
      <c r="AU28" s="197" t="s">
        <v>892</v>
      </c>
      <c r="AV28" s="326" t="s">
        <v>327</v>
      </c>
      <c r="AW28" s="445">
        <v>1</v>
      </c>
      <c r="AX28" s="196">
        <v>1</v>
      </c>
      <c r="AY28" s="193" t="s">
        <v>272</v>
      </c>
      <c r="AZ28" s="193"/>
      <c r="BA28" s="193">
        <v>5</v>
      </c>
      <c r="BB28" s="193"/>
      <c r="BC28" s="193"/>
      <c r="BD28" s="193"/>
      <c r="BE28" s="193"/>
      <c r="BF28" s="197"/>
      <c r="BG28" s="326"/>
      <c r="BH28" s="445">
        <v>1</v>
      </c>
      <c r="BI28" s="196">
        <v>1</v>
      </c>
      <c r="BJ28" s="193" t="s">
        <v>274</v>
      </c>
      <c r="BK28" s="193"/>
      <c r="BL28" s="193">
        <v>3.7</v>
      </c>
      <c r="BM28" s="193">
        <v>4.2</v>
      </c>
      <c r="BN28" s="193" t="s">
        <v>272</v>
      </c>
      <c r="BO28" s="193"/>
      <c r="BP28" s="193"/>
      <c r="BQ28" s="197"/>
      <c r="BR28" s="326"/>
      <c r="BS28" s="452">
        <v>0.2</v>
      </c>
      <c r="BT28" s="198">
        <v>0.2</v>
      </c>
      <c r="BU28" s="198">
        <v>0</v>
      </c>
      <c r="BV28" s="198">
        <v>0</v>
      </c>
      <c r="BW28" s="198">
        <v>0</v>
      </c>
      <c r="BX28" s="198">
        <v>0.8</v>
      </c>
      <c r="BY28" s="198">
        <v>0</v>
      </c>
      <c r="BZ28" s="198">
        <v>0</v>
      </c>
      <c r="CA28" s="198">
        <v>0</v>
      </c>
      <c r="CB28" s="198">
        <v>0</v>
      </c>
      <c r="CC28" s="198">
        <v>0</v>
      </c>
      <c r="CD28" s="199">
        <v>0</v>
      </c>
      <c r="CE28" s="197" t="s">
        <v>272</v>
      </c>
      <c r="CF28" s="326"/>
      <c r="CG28" s="379">
        <v>0</v>
      </c>
      <c r="CH28" s="380">
        <v>1</v>
      </c>
      <c r="CI28" s="380">
        <v>0</v>
      </c>
      <c r="CJ28" s="380">
        <v>0</v>
      </c>
      <c r="CK28" s="380">
        <v>0</v>
      </c>
      <c r="CL28" s="380">
        <v>0</v>
      </c>
      <c r="CM28" s="380">
        <v>0</v>
      </c>
      <c r="CN28" s="380">
        <v>0</v>
      </c>
      <c r="CO28" s="380">
        <v>0</v>
      </c>
      <c r="CP28" s="386">
        <v>0</v>
      </c>
      <c r="CQ28" s="197" t="s">
        <v>272</v>
      </c>
      <c r="CR28" s="326"/>
      <c r="CS28" s="200">
        <f t="shared" si="1"/>
        <v>286399</v>
      </c>
      <c r="CT28" s="154">
        <f t="shared" si="2"/>
        <v>286399</v>
      </c>
      <c r="CU28" s="154">
        <f t="shared" si="3"/>
        <v>0</v>
      </c>
      <c r="CV28" s="154">
        <f t="shared" si="4"/>
        <v>0</v>
      </c>
      <c r="CW28" s="154">
        <f t="shared" si="5"/>
        <v>0</v>
      </c>
      <c r="CX28" s="154">
        <f t="shared" si="6"/>
        <v>1145596</v>
      </c>
      <c r="CY28" s="154">
        <f t="shared" si="7"/>
        <v>0</v>
      </c>
      <c r="CZ28" s="154">
        <f t="shared" si="8"/>
        <v>0</v>
      </c>
      <c r="DA28" s="154">
        <f t="shared" si="9"/>
        <v>0</v>
      </c>
      <c r="DB28" s="154">
        <f t="shared" si="10"/>
        <v>0</v>
      </c>
      <c r="DC28" s="154">
        <f t="shared" si="11"/>
        <v>0</v>
      </c>
      <c r="DD28" s="154">
        <f t="shared" si="12"/>
        <v>0</v>
      </c>
      <c r="DE28" s="326"/>
      <c r="DF28" s="201">
        <f t="shared" si="13"/>
        <v>0</v>
      </c>
      <c r="DG28" s="202">
        <f t="shared" si="14"/>
        <v>1431995</v>
      </c>
      <c r="DH28" s="202">
        <f t="shared" si="15"/>
        <v>0</v>
      </c>
      <c r="DI28" s="202">
        <f t="shared" si="16"/>
        <v>0</v>
      </c>
      <c r="DJ28" s="202">
        <f t="shared" si="17"/>
        <v>0</v>
      </c>
      <c r="DK28" s="202">
        <f t="shared" si="18"/>
        <v>0</v>
      </c>
      <c r="DL28" s="202">
        <f t="shared" si="19"/>
        <v>0</v>
      </c>
      <c r="DM28" s="202">
        <f t="shared" si="20"/>
        <v>0</v>
      </c>
      <c r="DN28" s="202">
        <f t="shared" si="21"/>
        <v>0</v>
      </c>
      <c r="DO28" s="203">
        <f t="shared" si="22"/>
        <v>0</v>
      </c>
      <c r="DP28" s="326"/>
      <c r="DQ28" s="200">
        <f t="shared" ref="DQ28" si="163">CS28*(1-$AS28)</f>
        <v>128879.54999999999</v>
      </c>
      <c r="DR28" s="154">
        <f t="shared" ref="DR28" si="164">CT28*(1-$AS28)</f>
        <v>128879.54999999999</v>
      </c>
      <c r="DS28" s="154">
        <f t="shared" ref="DS28" si="165">CU28*(1-$AS28)</f>
        <v>0</v>
      </c>
      <c r="DT28" s="154">
        <f t="shared" ref="DT28" si="166">CV28*(1-$AS28)</f>
        <v>0</v>
      </c>
      <c r="DU28" s="154">
        <f t="shared" ref="DU28" si="167">CW28*(1-$AS28)</f>
        <v>0</v>
      </c>
      <c r="DV28" s="154">
        <f t="shared" ref="DV28" si="168">CX28*(1-$AS28)</f>
        <v>515518.19999999995</v>
      </c>
      <c r="DW28" s="154">
        <f t="shared" ref="DW28" si="169">CY28*(1-$AS28)</f>
        <v>0</v>
      </c>
      <c r="DX28" s="154">
        <f t="shared" ref="DX28" si="170">CZ28*(1-$AS28)</f>
        <v>0</v>
      </c>
      <c r="DY28" s="154">
        <f t="shared" ref="DY28" si="171">DA28*(1-$AS28)</f>
        <v>0</v>
      </c>
      <c r="DZ28" s="154">
        <f t="shared" ref="DZ28" si="172">DB28*(1-$AS28)</f>
        <v>0</v>
      </c>
      <c r="EA28" s="154">
        <f t="shared" si="40"/>
        <v>0</v>
      </c>
      <c r="EB28" s="154">
        <f t="shared" ref="EB28" si="173">DD28*(1-$AS28)</f>
        <v>0</v>
      </c>
      <c r="EC28" s="326"/>
      <c r="ED28" s="201">
        <f t="shared" ref="ED28" si="174">DF28*(1-$AS28)</f>
        <v>0</v>
      </c>
      <c r="EE28" s="202">
        <f t="shared" ref="EE28" si="175">DG28*(1-$AS28)</f>
        <v>644397.74999999988</v>
      </c>
      <c r="EF28" s="202">
        <f t="shared" ref="EF28" si="176">DH28*(1-$AS28)</f>
        <v>0</v>
      </c>
      <c r="EG28" s="202">
        <f t="shared" ref="EG28" si="177">DI28*(1-$AS28)</f>
        <v>0</v>
      </c>
      <c r="EH28" s="202">
        <f t="shared" ref="EH28" si="178">DJ28*(1-$AS28)</f>
        <v>0</v>
      </c>
      <c r="EI28" s="202">
        <f t="shared" ref="EI28" si="179">DK28*(1-$AS28)</f>
        <v>0</v>
      </c>
      <c r="EJ28" s="202">
        <f t="shared" ref="EJ28" si="180">DL28*(1-$AS28)</f>
        <v>0</v>
      </c>
      <c r="EK28" s="202">
        <f t="shared" ref="EK28" si="181">DM28*(1-$AS28)</f>
        <v>0</v>
      </c>
      <c r="EL28" s="202">
        <f t="shared" ref="EL28" si="182">DN28*(1-$AS28)</f>
        <v>0</v>
      </c>
      <c r="EM28" s="203">
        <f t="shared" ref="EM28" si="183">DO28*(1-$AS28)</f>
        <v>0</v>
      </c>
      <c r="EN28" s="326" t="s">
        <v>327</v>
      </c>
      <c r="EO28" s="200">
        <f t="shared" ref="EO28" si="184">CS28*$AS28</f>
        <v>157519.45000000001</v>
      </c>
      <c r="EP28" s="154">
        <f t="shared" ref="EP28" si="185">CT28*$AS28</f>
        <v>157519.45000000001</v>
      </c>
      <c r="EQ28" s="154">
        <f t="shared" ref="EQ28" si="186">CU28*$AS28</f>
        <v>0</v>
      </c>
      <c r="ER28" s="154">
        <f t="shared" ref="ER28" si="187">CV28*$AS28</f>
        <v>0</v>
      </c>
      <c r="ES28" s="154">
        <f t="shared" ref="ES28" si="188">CW28*$AS28</f>
        <v>0</v>
      </c>
      <c r="ET28" s="154">
        <f t="shared" ref="ET28" si="189">CX28*$AS28</f>
        <v>630077.80000000005</v>
      </c>
      <c r="EU28" s="154">
        <f t="shared" ref="EU28" si="190">CY28*$AS28</f>
        <v>0</v>
      </c>
      <c r="EV28" s="154">
        <f t="shared" ref="EV28" si="191">CZ28*$AS28</f>
        <v>0</v>
      </c>
      <c r="EW28" s="154">
        <f t="shared" ref="EW28" si="192">DA28*$AS28</f>
        <v>0</v>
      </c>
      <c r="EX28" s="154">
        <f t="shared" ref="EX28" si="193">DB28*$AS28</f>
        <v>0</v>
      </c>
      <c r="EY28" s="154">
        <f t="shared" si="53"/>
        <v>0</v>
      </c>
      <c r="EZ28" s="154">
        <f t="shared" ref="EZ28" si="194">DD28*$AS28</f>
        <v>0</v>
      </c>
      <c r="FA28" s="326"/>
      <c r="FB28" s="201">
        <f t="shared" ref="FB28" si="195">DF28*$AS28</f>
        <v>0</v>
      </c>
      <c r="FC28" s="202">
        <f t="shared" ref="FC28" si="196">DG28*$AS28</f>
        <v>787597.25000000012</v>
      </c>
      <c r="FD28" s="202">
        <f t="shared" ref="FD28" si="197">DH28*$AS28</f>
        <v>0</v>
      </c>
      <c r="FE28" s="202">
        <f t="shared" ref="FE28" si="198">DI28*$AS28</f>
        <v>0</v>
      </c>
      <c r="FF28" s="202">
        <f t="shared" ref="FF28" si="199">DJ28*$AS28</f>
        <v>0</v>
      </c>
      <c r="FG28" s="202">
        <f t="shared" ref="FG28" si="200">DK28*$AS28</f>
        <v>0</v>
      </c>
      <c r="FH28" s="202">
        <f t="shared" ref="FH28" si="201">DL28*$AS28</f>
        <v>0</v>
      </c>
      <c r="FI28" s="202">
        <f t="shared" ref="FI28" si="202">DM28*$AS28</f>
        <v>0</v>
      </c>
      <c r="FJ28" s="202">
        <f t="shared" ref="FJ28" si="203">DN28*$AS28</f>
        <v>0</v>
      </c>
      <c r="FK28" s="203">
        <f t="shared" ref="FK28" si="204">DO28*$AS28</f>
        <v>0</v>
      </c>
    </row>
    <row r="29" spans="1:167" s="6" customFormat="1">
      <c r="A29" s="223" t="s">
        <v>152</v>
      </c>
      <c r="B29" s="223" t="s">
        <v>158</v>
      </c>
      <c r="C29" s="224" t="s">
        <v>114</v>
      </c>
      <c r="D29" s="225">
        <f t="shared" si="56"/>
        <v>24</v>
      </c>
      <c r="E29" s="327" t="s">
        <v>327</v>
      </c>
      <c r="F29" s="232">
        <v>16150000</v>
      </c>
      <c r="G29" s="233">
        <v>17604000</v>
      </c>
      <c r="H29" s="233">
        <v>18467000</v>
      </c>
      <c r="I29" s="233">
        <v>19408000</v>
      </c>
      <c r="J29" s="233">
        <v>20184000</v>
      </c>
      <c r="K29" s="233">
        <v>21194000</v>
      </c>
      <c r="L29" s="484" t="s">
        <v>895</v>
      </c>
      <c r="M29" s="483" t="s">
        <v>788</v>
      </c>
      <c r="N29" s="327" t="s">
        <v>327</v>
      </c>
      <c r="O29" s="434"/>
      <c r="P29" s="239"/>
      <c r="Q29" s="239"/>
      <c r="R29" s="239"/>
      <c r="S29" s="226"/>
      <c r="T29" s="226"/>
      <c r="U29" s="227"/>
      <c r="V29" s="229"/>
      <c r="W29" s="326" t="s">
        <v>327</v>
      </c>
      <c r="X29" s="425">
        <v>0</v>
      </c>
      <c r="Y29" s="226">
        <v>0</v>
      </c>
      <c r="Z29" s="226">
        <v>0</v>
      </c>
      <c r="AA29" s="226">
        <v>0</v>
      </c>
      <c r="AB29" s="226">
        <v>29347000</v>
      </c>
      <c r="AC29" s="226"/>
      <c r="AD29" s="226">
        <v>28730000</v>
      </c>
      <c r="AE29" s="226" t="s">
        <v>639</v>
      </c>
      <c r="AF29" s="229" t="s">
        <v>456</v>
      </c>
      <c r="AG29" s="326" t="s">
        <v>327</v>
      </c>
      <c r="AH29" s="425">
        <f t="shared" ref="AH29:AH30" si="205">F29</f>
        <v>16150000</v>
      </c>
      <c r="AI29" s="226">
        <f t="shared" ref="AI29:AI30" si="206">G29</f>
        <v>17604000</v>
      </c>
      <c r="AJ29" s="226">
        <f t="shared" ref="AJ29:AJ30" si="207">H29</f>
        <v>18467000</v>
      </c>
      <c r="AK29" s="226">
        <f t="shared" ref="AK29:AK30" si="208">I29</f>
        <v>19408000</v>
      </c>
      <c r="AL29" s="226">
        <f t="shared" ref="AL29:AL30" si="209">J29</f>
        <v>20184000</v>
      </c>
      <c r="AM29" s="226">
        <f t="shared" ref="AM29:AM30" si="210">K29</f>
        <v>21194000</v>
      </c>
      <c r="AN29" s="226">
        <f t="shared" si="0"/>
        <v>19408000</v>
      </c>
      <c r="AO29" s="226" t="str">
        <f t="shared" ref="AO29:AO30" si="211">L29</f>
        <v>CEA 2010</v>
      </c>
      <c r="AP29" s="229" t="str">
        <f t="shared" ref="AP29:AP30" si="212">M29</f>
        <v>Sales to dealers of "Modems/Broadband Gateways"</v>
      </c>
      <c r="AQ29" s="326" t="s">
        <v>327</v>
      </c>
      <c r="AR29" s="440" t="s">
        <v>776</v>
      </c>
      <c r="AS29" s="514">
        <v>0.17</v>
      </c>
      <c r="AT29" s="227" t="s">
        <v>244</v>
      </c>
      <c r="AU29" s="229" t="s">
        <v>884</v>
      </c>
      <c r="AV29" s="326" t="s">
        <v>327</v>
      </c>
      <c r="AW29" s="447">
        <v>0.96</v>
      </c>
      <c r="AX29" s="228">
        <v>1</v>
      </c>
      <c r="AY29" s="238" t="s">
        <v>274</v>
      </c>
      <c r="AZ29" s="227"/>
      <c r="BA29" s="227">
        <v>12</v>
      </c>
      <c r="BB29" s="227">
        <v>12</v>
      </c>
      <c r="BC29" s="227" t="s">
        <v>294</v>
      </c>
      <c r="BD29" s="227"/>
      <c r="BE29" s="227"/>
      <c r="BF29" s="229"/>
      <c r="BG29" s="326" t="s">
        <v>327</v>
      </c>
      <c r="BH29" s="447">
        <v>6.6078399999999995E-2</v>
      </c>
      <c r="BI29" s="228">
        <v>1</v>
      </c>
      <c r="BJ29" s="227" t="s">
        <v>974</v>
      </c>
      <c r="BK29" s="227" t="s">
        <v>975</v>
      </c>
      <c r="BL29" s="227">
        <v>7.4</v>
      </c>
      <c r="BM29" s="227">
        <v>16.28</v>
      </c>
      <c r="BN29" s="484" t="s">
        <v>976</v>
      </c>
      <c r="BO29" s="227"/>
      <c r="BP29" s="227"/>
      <c r="BQ29" s="229"/>
      <c r="BR29" s="326" t="s">
        <v>327</v>
      </c>
      <c r="BS29" s="455">
        <v>1</v>
      </c>
      <c r="BT29" s="230">
        <v>0</v>
      </c>
      <c r="BU29" s="230">
        <v>1</v>
      </c>
      <c r="BV29" s="230">
        <v>0</v>
      </c>
      <c r="BW29" s="230">
        <v>0</v>
      </c>
      <c r="BX29" s="230">
        <v>0</v>
      </c>
      <c r="BY29" s="230">
        <v>0</v>
      </c>
      <c r="BZ29" s="230">
        <v>0</v>
      </c>
      <c r="CA29" s="230">
        <v>0</v>
      </c>
      <c r="CB29" s="230">
        <v>0</v>
      </c>
      <c r="CC29" s="230">
        <v>0</v>
      </c>
      <c r="CD29" s="231">
        <v>0</v>
      </c>
      <c r="CE29" s="229" t="s">
        <v>274</v>
      </c>
      <c r="CF29" s="326" t="s">
        <v>327</v>
      </c>
      <c r="CG29" s="381">
        <v>0</v>
      </c>
      <c r="CH29" s="382">
        <v>0</v>
      </c>
      <c r="CI29" s="382">
        <v>1</v>
      </c>
      <c r="CJ29" s="382">
        <v>0</v>
      </c>
      <c r="CK29" s="382">
        <v>0</v>
      </c>
      <c r="CL29" s="382">
        <v>0</v>
      </c>
      <c r="CM29" s="382">
        <v>0</v>
      </c>
      <c r="CN29" s="382">
        <v>0</v>
      </c>
      <c r="CO29" s="382">
        <v>0</v>
      </c>
      <c r="CP29" s="387">
        <v>0</v>
      </c>
      <c r="CQ29" s="229" t="s">
        <v>274</v>
      </c>
      <c r="CR29" s="326" t="s">
        <v>327</v>
      </c>
      <c r="CS29" s="232">
        <f t="shared" si="1"/>
        <v>18631680</v>
      </c>
      <c r="CT29" s="233">
        <f t="shared" si="2"/>
        <v>0</v>
      </c>
      <c r="CU29" s="233">
        <f t="shared" si="3"/>
        <v>18631680</v>
      </c>
      <c r="CV29" s="233">
        <f t="shared" si="4"/>
        <v>0</v>
      </c>
      <c r="CW29" s="233">
        <f t="shared" si="5"/>
        <v>0</v>
      </c>
      <c r="CX29" s="233">
        <f t="shared" si="6"/>
        <v>0</v>
      </c>
      <c r="CY29" s="233">
        <f t="shared" si="7"/>
        <v>0</v>
      </c>
      <c r="CZ29" s="233">
        <f t="shared" si="8"/>
        <v>0</v>
      </c>
      <c r="DA29" s="233">
        <f t="shared" si="9"/>
        <v>0</v>
      </c>
      <c r="DB29" s="233">
        <f t="shared" si="10"/>
        <v>0</v>
      </c>
      <c r="DC29" s="233">
        <f t="shared" si="11"/>
        <v>0</v>
      </c>
      <c r="DD29" s="233">
        <f t="shared" si="12"/>
        <v>0</v>
      </c>
      <c r="DE29" s="326"/>
      <c r="DF29" s="234">
        <f t="shared" si="13"/>
        <v>0</v>
      </c>
      <c r="DG29" s="235">
        <f t="shared" si="14"/>
        <v>0</v>
      </c>
      <c r="DH29" s="235">
        <f t="shared" si="15"/>
        <v>1282449.5872</v>
      </c>
      <c r="DI29" s="235">
        <f t="shared" si="16"/>
        <v>0</v>
      </c>
      <c r="DJ29" s="235">
        <f t="shared" si="17"/>
        <v>0</v>
      </c>
      <c r="DK29" s="235">
        <f t="shared" si="18"/>
        <v>0</v>
      </c>
      <c r="DL29" s="235">
        <f t="shared" si="19"/>
        <v>0</v>
      </c>
      <c r="DM29" s="235">
        <f t="shared" si="20"/>
        <v>0</v>
      </c>
      <c r="DN29" s="235">
        <f t="shared" si="21"/>
        <v>0</v>
      </c>
      <c r="DO29" s="236">
        <f t="shared" si="22"/>
        <v>0</v>
      </c>
      <c r="DP29" s="326" t="s">
        <v>327</v>
      </c>
      <c r="DQ29" s="232">
        <f t="shared" si="30"/>
        <v>15464294.399999999</v>
      </c>
      <c r="DR29" s="233">
        <f t="shared" si="100"/>
        <v>0</v>
      </c>
      <c r="DS29" s="233">
        <f t="shared" si="101"/>
        <v>15464294.399999999</v>
      </c>
      <c r="DT29" s="233">
        <f t="shared" si="102"/>
        <v>0</v>
      </c>
      <c r="DU29" s="233">
        <f t="shared" si="103"/>
        <v>0</v>
      </c>
      <c r="DV29" s="233">
        <f t="shared" si="104"/>
        <v>0</v>
      </c>
      <c r="DW29" s="233">
        <f t="shared" si="105"/>
        <v>0</v>
      </c>
      <c r="DX29" s="233">
        <f t="shared" si="106"/>
        <v>0</v>
      </c>
      <c r="DY29" s="233">
        <f t="shared" si="107"/>
        <v>0</v>
      </c>
      <c r="DZ29" s="233">
        <f t="shared" si="108"/>
        <v>0</v>
      </c>
      <c r="EA29" s="233">
        <f t="shared" si="40"/>
        <v>0</v>
      </c>
      <c r="EB29" s="233">
        <f t="shared" si="109"/>
        <v>0</v>
      </c>
      <c r="EC29" s="326"/>
      <c r="ED29" s="234">
        <f t="shared" si="42"/>
        <v>0</v>
      </c>
      <c r="EE29" s="235">
        <f t="shared" si="128"/>
        <v>0</v>
      </c>
      <c r="EF29" s="235">
        <f t="shared" si="129"/>
        <v>1064433.157376</v>
      </c>
      <c r="EG29" s="235">
        <f t="shared" si="130"/>
        <v>0</v>
      </c>
      <c r="EH29" s="235">
        <f t="shared" si="131"/>
        <v>0</v>
      </c>
      <c r="EI29" s="235">
        <f t="shared" si="132"/>
        <v>0</v>
      </c>
      <c r="EJ29" s="235">
        <f t="shared" si="133"/>
        <v>0</v>
      </c>
      <c r="EK29" s="235">
        <f t="shared" si="134"/>
        <v>0</v>
      </c>
      <c r="EL29" s="235">
        <f t="shared" si="135"/>
        <v>0</v>
      </c>
      <c r="EM29" s="236">
        <f t="shared" si="136"/>
        <v>0</v>
      </c>
      <c r="EN29" s="326" t="s">
        <v>327</v>
      </c>
      <c r="EO29" s="232">
        <f t="shared" si="43"/>
        <v>3167385.6000000001</v>
      </c>
      <c r="EP29" s="233">
        <f t="shared" si="110"/>
        <v>0</v>
      </c>
      <c r="EQ29" s="233">
        <f t="shared" si="111"/>
        <v>3167385.6000000001</v>
      </c>
      <c r="ER29" s="233">
        <f t="shared" si="112"/>
        <v>0</v>
      </c>
      <c r="ES29" s="233">
        <f t="shared" si="113"/>
        <v>0</v>
      </c>
      <c r="ET29" s="233">
        <f t="shared" si="114"/>
        <v>0</v>
      </c>
      <c r="EU29" s="233">
        <f t="shared" si="115"/>
        <v>0</v>
      </c>
      <c r="EV29" s="233">
        <f t="shared" si="116"/>
        <v>0</v>
      </c>
      <c r="EW29" s="233">
        <f t="shared" si="117"/>
        <v>0</v>
      </c>
      <c r="EX29" s="233">
        <f t="shared" si="118"/>
        <v>0</v>
      </c>
      <c r="EY29" s="233">
        <f t="shared" si="53"/>
        <v>0</v>
      </c>
      <c r="EZ29" s="233">
        <f t="shared" si="119"/>
        <v>0</v>
      </c>
      <c r="FA29" s="326"/>
      <c r="FB29" s="234">
        <f t="shared" si="55"/>
        <v>0</v>
      </c>
      <c r="FC29" s="235">
        <f t="shared" si="137"/>
        <v>0</v>
      </c>
      <c r="FD29" s="235">
        <f t="shared" si="138"/>
        <v>218016.42982400002</v>
      </c>
      <c r="FE29" s="235">
        <f t="shared" si="139"/>
        <v>0</v>
      </c>
      <c r="FF29" s="235">
        <f t="shared" si="140"/>
        <v>0</v>
      </c>
      <c r="FG29" s="235">
        <f t="shared" si="141"/>
        <v>0</v>
      </c>
      <c r="FH29" s="235">
        <f t="shared" si="142"/>
        <v>0</v>
      </c>
      <c r="FI29" s="235">
        <f t="shared" si="143"/>
        <v>0</v>
      </c>
      <c r="FJ29" s="235">
        <f t="shared" si="144"/>
        <v>0</v>
      </c>
      <c r="FK29" s="236">
        <f t="shared" si="145"/>
        <v>0</v>
      </c>
    </row>
    <row r="30" spans="1:167" s="6" customFormat="1">
      <c r="A30" s="186" t="s">
        <v>163</v>
      </c>
      <c r="B30" s="186" t="s">
        <v>159</v>
      </c>
      <c r="C30" s="187" t="s">
        <v>115</v>
      </c>
      <c r="D30" s="252">
        <f t="shared" si="56"/>
        <v>25</v>
      </c>
      <c r="E30" s="326" t="s">
        <v>327</v>
      </c>
      <c r="F30" s="154">
        <v>2284000</v>
      </c>
      <c r="G30" s="154">
        <v>8751000</v>
      </c>
      <c r="H30" s="154">
        <v>15320000</v>
      </c>
      <c r="I30" s="154">
        <v>12645000</v>
      </c>
      <c r="J30" s="154">
        <v>11507000</v>
      </c>
      <c r="K30" s="154">
        <v>10701000</v>
      </c>
      <c r="L30" s="156" t="s">
        <v>895</v>
      </c>
      <c r="M30" s="478" t="s">
        <v>835</v>
      </c>
      <c r="N30" s="326" t="s">
        <v>327</v>
      </c>
      <c r="O30" s="191"/>
      <c r="P30" s="191"/>
      <c r="Q30" s="191"/>
      <c r="R30" s="191"/>
      <c r="S30" s="189"/>
      <c r="T30" s="189"/>
      <c r="U30" s="193"/>
      <c r="V30" s="193"/>
      <c r="W30" s="326" t="s">
        <v>327</v>
      </c>
      <c r="X30" s="189">
        <v>550000</v>
      </c>
      <c r="Y30" s="189">
        <v>707000</v>
      </c>
      <c r="Z30" s="189">
        <v>2284000</v>
      </c>
      <c r="AA30" s="189">
        <v>8751000</v>
      </c>
      <c r="AB30" s="189">
        <v>15320000</v>
      </c>
      <c r="AC30" s="189">
        <v>15167000</v>
      </c>
      <c r="AD30" s="189">
        <v>15320000</v>
      </c>
      <c r="AE30" s="189" t="s">
        <v>643</v>
      </c>
      <c r="AF30" s="255" t="s">
        <v>327</v>
      </c>
      <c r="AG30" s="326" t="s">
        <v>327</v>
      </c>
      <c r="AH30" s="189">
        <f t="shared" si="205"/>
        <v>2284000</v>
      </c>
      <c r="AI30" s="189">
        <f t="shared" si="206"/>
        <v>8751000</v>
      </c>
      <c r="AJ30" s="189">
        <f t="shared" si="207"/>
        <v>15320000</v>
      </c>
      <c r="AK30" s="189">
        <f t="shared" si="208"/>
        <v>12645000</v>
      </c>
      <c r="AL30" s="189">
        <f t="shared" si="209"/>
        <v>11507000</v>
      </c>
      <c r="AM30" s="189">
        <f t="shared" si="210"/>
        <v>10701000</v>
      </c>
      <c r="AN30" s="189">
        <f t="shared" si="0"/>
        <v>12645000</v>
      </c>
      <c r="AO30" s="189" t="str">
        <f t="shared" si="211"/>
        <v>CEA 2010</v>
      </c>
      <c r="AP30" s="255" t="str">
        <f t="shared" si="212"/>
        <v>Sales to dealers of "portable and transportable navigation."  Includes handheld GPSs.</v>
      </c>
      <c r="AQ30" s="326" t="s">
        <v>327</v>
      </c>
      <c r="AR30" s="194" t="s">
        <v>775</v>
      </c>
      <c r="AS30" s="511">
        <v>0</v>
      </c>
      <c r="AT30" s="193"/>
      <c r="AU30" s="193"/>
      <c r="AV30" s="326" t="s">
        <v>327</v>
      </c>
      <c r="AW30" s="195">
        <v>0.25</v>
      </c>
      <c r="AX30" s="196">
        <v>1</v>
      </c>
      <c r="AY30" s="192" t="s">
        <v>249</v>
      </c>
      <c r="AZ30" s="193"/>
      <c r="BA30" s="193"/>
      <c r="BB30" s="193"/>
      <c r="BC30" s="193"/>
      <c r="BD30" s="193"/>
      <c r="BE30" s="193"/>
      <c r="BF30" s="197"/>
      <c r="BG30" s="326" t="s">
        <v>327</v>
      </c>
      <c r="BH30" s="195">
        <v>1</v>
      </c>
      <c r="BI30" s="196">
        <v>1</v>
      </c>
      <c r="BJ30" s="193" t="s">
        <v>249</v>
      </c>
      <c r="BK30" s="193"/>
      <c r="BL30" s="193">
        <v>3.7</v>
      </c>
      <c r="BM30" s="193">
        <v>4.5999999999999996</v>
      </c>
      <c r="BN30" s="193" t="s">
        <v>385</v>
      </c>
      <c r="BO30" s="193"/>
      <c r="BP30" s="193"/>
      <c r="BQ30" s="193"/>
      <c r="BR30" s="326" t="s">
        <v>327</v>
      </c>
      <c r="BS30" s="198">
        <v>0</v>
      </c>
      <c r="BT30" s="198">
        <v>0</v>
      </c>
      <c r="BU30" s="198">
        <v>0</v>
      </c>
      <c r="BV30" s="198">
        <v>0</v>
      </c>
      <c r="BW30" s="198">
        <v>0</v>
      </c>
      <c r="BX30" s="198">
        <v>0.1</v>
      </c>
      <c r="BY30" s="198">
        <v>0</v>
      </c>
      <c r="BZ30" s="198">
        <v>0</v>
      </c>
      <c r="CA30" s="198">
        <v>0</v>
      </c>
      <c r="CB30" s="198">
        <v>0</v>
      </c>
      <c r="CC30" s="198">
        <v>0.9</v>
      </c>
      <c r="CD30" s="199">
        <v>0</v>
      </c>
      <c r="CE30" s="193" t="s">
        <v>249</v>
      </c>
      <c r="CF30" s="326" t="s">
        <v>327</v>
      </c>
      <c r="CG30" s="379">
        <v>0</v>
      </c>
      <c r="CH30" s="380">
        <v>0.25</v>
      </c>
      <c r="CI30" s="380">
        <v>0</v>
      </c>
      <c r="CJ30" s="380">
        <v>0</v>
      </c>
      <c r="CK30" s="380">
        <v>0</v>
      </c>
      <c r="CL30" s="380">
        <v>0</v>
      </c>
      <c r="CM30" s="380">
        <v>0</v>
      </c>
      <c r="CN30" s="380">
        <v>0</v>
      </c>
      <c r="CO30" s="380">
        <v>0.75</v>
      </c>
      <c r="CP30" s="386">
        <v>0</v>
      </c>
      <c r="CQ30" s="193" t="s">
        <v>438</v>
      </c>
      <c r="CR30" s="326" t="s">
        <v>327</v>
      </c>
      <c r="CS30" s="200">
        <f t="shared" si="1"/>
        <v>0</v>
      </c>
      <c r="CT30" s="154">
        <f t="shared" si="2"/>
        <v>0</v>
      </c>
      <c r="CU30" s="154">
        <f t="shared" si="3"/>
        <v>0</v>
      </c>
      <c r="CV30" s="154">
        <f t="shared" si="4"/>
        <v>0</v>
      </c>
      <c r="CW30" s="154">
        <f t="shared" si="5"/>
        <v>0</v>
      </c>
      <c r="CX30" s="154">
        <f t="shared" si="6"/>
        <v>316125</v>
      </c>
      <c r="CY30" s="154">
        <f t="shared" si="7"/>
        <v>0</v>
      </c>
      <c r="CZ30" s="154">
        <f t="shared" si="8"/>
        <v>0</v>
      </c>
      <c r="DA30" s="154">
        <f t="shared" si="9"/>
        <v>0</v>
      </c>
      <c r="DB30" s="154">
        <f t="shared" si="10"/>
        <v>0</v>
      </c>
      <c r="DC30" s="154">
        <f t="shared" si="11"/>
        <v>2845125</v>
      </c>
      <c r="DD30" s="154">
        <f t="shared" si="12"/>
        <v>0</v>
      </c>
      <c r="DE30" s="326"/>
      <c r="DF30" s="201">
        <f t="shared" si="13"/>
        <v>0</v>
      </c>
      <c r="DG30" s="202">
        <f t="shared" si="14"/>
        <v>3161250</v>
      </c>
      <c r="DH30" s="202">
        <f t="shared" si="15"/>
        <v>0</v>
      </c>
      <c r="DI30" s="202">
        <f t="shared" si="16"/>
        <v>0</v>
      </c>
      <c r="DJ30" s="202">
        <f t="shared" si="17"/>
        <v>0</v>
      </c>
      <c r="DK30" s="202">
        <f t="shared" si="18"/>
        <v>0</v>
      </c>
      <c r="DL30" s="202">
        <f t="shared" si="19"/>
        <v>0</v>
      </c>
      <c r="DM30" s="202">
        <f t="shared" si="20"/>
        <v>0</v>
      </c>
      <c r="DN30" s="202">
        <f t="shared" si="21"/>
        <v>9483750</v>
      </c>
      <c r="DO30" s="203">
        <f t="shared" si="22"/>
        <v>0</v>
      </c>
      <c r="DP30" s="326" t="s">
        <v>327</v>
      </c>
      <c r="DQ30" s="200">
        <f t="shared" si="30"/>
        <v>0</v>
      </c>
      <c r="DR30" s="154">
        <f t="shared" si="100"/>
        <v>0</v>
      </c>
      <c r="DS30" s="154">
        <f t="shared" si="101"/>
        <v>0</v>
      </c>
      <c r="DT30" s="154">
        <f t="shared" si="102"/>
        <v>0</v>
      </c>
      <c r="DU30" s="154">
        <f t="shared" si="103"/>
        <v>0</v>
      </c>
      <c r="DV30" s="154">
        <f t="shared" si="104"/>
        <v>316125</v>
      </c>
      <c r="DW30" s="154">
        <f t="shared" si="105"/>
        <v>0</v>
      </c>
      <c r="DX30" s="154">
        <f t="shared" si="106"/>
        <v>0</v>
      </c>
      <c r="DY30" s="154">
        <f t="shared" si="107"/>
        <v>0</v>
      </c>
      <c r="DZ30" s="154">
        <f t="shared" si="108"/>
        <v>0</v>
      </c>
      <c r="EA30" s="154">
        <f t="shared" si="40"/>
        <v>2845125</v>
      </c>
      <c r="EB30" s="154">
        <f t="shared" si="109"/>
        <v>0</v>
      </c>
      <c r="EC30" s="326"/>
      <c r="ED30" s="201">
        <f t="shared" si="42"/>
        <v>0</v>
      </c>
      <c r="EE30" s="202">
        <f t="shared" si="128"/>
        <v>3161250</v>
      </c>
      <c r="EF30" s="202">
        <f t="shared" si="129"/>
        <v>0</v>
      </c>
      <c r="EG30" s="202">
        <f t="shared" si="130"/>
        <v>0</v>
      </c>
      <c r="EH30" s="202">
        <f t="shared" si="131"/>
        <v>0</v>
      </c>
      <c r="EI30" s="202">
        <f t="shared" si="132"/>
        <v>0</v>
      </c>
      <c r="EJ30" s="202">
        <f t="shared" si="133"/>
        <v>0</v>
      </c>
      <c r="EK30" s="202">
        <f t="shared" si="134"/>
        <v>0</v>
      </c>
      <c r="EL30" s="202">
        <f t="shared" si="135"/>
        <v>9483750</v>
      </c>
      <c r="EM30" s="203">
        <f t="shared" si="136"/>
        <v>0</v>
      </c>
      <c r="EN30" s="326" t="s">
        <v>327</v>
      </c>
      <c r="EO30" s="200">
        <f t="shared" si="43"/>
        <v>0</v>
      </c>
      <c r="EP30" s="154">
        <f t="shared" si="110"/>
        <v>0</v>
      </c>
      <c r="EQ30" s="154">
        <f t="shared" si="111"/>
        <v>0</v>
      </c>
      <c r="ER30" s="154">
        <f t="shared" si="112"/>
        <v>0</v>
      </c>
      <c r="ES30" s="154">
        <f t="shared" si="113"/>
        <v>0</v>
      </c>
      <c r="ET30" s="154">
        <f t="shared" si="114"/>
        <v>0</v>
      </c>
      <c r="EU30" s="154">
        <f t="shared" si="115"/>
        <v>0</v>
      </c>
      <c r="EV30" s="154">
        <f t="shared" si="116"/>
        <v>0</v>
      </c>
      <c r="EW30" s="154">
        <f t="shared" si="117"/>
        <v>0</v>
      </c>
      <c r="EX30" s="154">
        <f t="shared" si="118"/>
        <v>0</v>
      </c>
      <c r="EY30" s="154">
        <f t="shared" si="53"/>
        <v>0</v>
      </c>
      <c r="EZ30" s="154">
        <f t="shared" si="119"/>
        <v>0</v>
      </c>
      <c r="FA30" s="326"/>
      <c r="FB30" s="201">
        <f t="shared" si="55"/>
        <v>0</v>
      </c>
      <c r="FC30" s="202">
        <f t="shared" si="137"/>
        <v>0</v>
      </c>
      <c r="FD30" s="202">
        <f t="shared" si="138"/>
        <v>0</v>
      </c>
      <c r="FE30" s="202">
        <f t="shared" si="139"/>
        <v>0</v>
      </c>
      <c r="FF30" s="202">
        <f t="shared" si="140"/>
        <v>0</v>
      </c>
      <c r="FG30" s="202">
        <f t="shared" si="141"/>
        <v>0</v>
      </c>
      <c r="FH30" s="202">
        <f t="shared" si="142"/>
        <v>0</v>
      </c>
      <c r="FI30" s="202">
        <f t="shared" si="143"/>
        <v>0</v>
      </c>
      <c r="FJ30" s="202">
        <f t="shared" si="144"/>
        <v>0</v>
      </c>
      <c r="FK30" s="203">
        <f t="shared" si="145"/>
        <v>0</v>
      </c>
    </row>
    <row r="31" spans="1:167" s="6" customFormat="1">
      <c r="A31" s="223" t="s">
        <v>163</v>
      </c>
      <c r="B31" s="223" t="s">
        <v>159</v>
      </c>
      <c r="C31" s="224" t="s">
        <v>116</v>
      </c>
      <c r="D31" s="225">
        <f t="shared" si="56"/>
        <v>26</v>
      </c>
      <c r="E31" s="327" t="s">
        <v>327</v>
      </c>
      <c r="F31" s="232"/>
      <c r="G31" s="233"/>
      <c r="H31" s="233"/>
      <c r="I31" s="233"/>
      <c r="J31" s="233"/>
      <c r="K31" s="233"/>
      <c r="L31" s="484"/>
      <c r="M31" s="483"/>
      <c r="N31" s="327" t="s">
        <v>327</v>
      </c>
      <c r="O31" s="434"/>
      <c r="P31" s="239"/>
      <c r="Q31" s="239"/>
      <c r="R31" s="239"/>
      <c r="S31" s="226"/>
      <c r="T31" s="226"/>
      <c r="U31" s="227"/>
      <c r="V31" s="229"/>
      <c r="W31" s="326" t="s">
        <v>327</v>
      </c>
      <c r="X31" s="425"/>
      <c r="Y31" s="226"/>
      <c r="Z31" s="226"/>
      <c r="AA31" s="226"/>
      <c r="AB31" s="226">
        <v>1000000</v>
      </c>
      <c r="AC31" s="226"/>
      <c r="AD31" s="226">
        <v>1000000</v>
      </c>
      <c r="AE31" s="226" t="s">
        <v>240</v>
      </c>
      <c r="AF31" s="229" t="s">
        <v>327</v>
      </c>
      <c r="AG31" s="326" t="s">
        <v>327</v>
      </c>
      <c r="AH31" s="425"/>
      <c r="AI31" s="226"/>
      <c r="AJ31" s="226"/>
      <c r="AK31" s="226">
        <f>AD31*1.009</f>
        <v>1008999.9999999999</v>
      </c>
      <c r="AL31" s="226"/>
      <c r="AM31" s="226"/>
      <c r="AN31" s="226">
        <f t="shared" si="0"/>
        <v>1008999.9999999999</v>
      </c>
      <c r="AO31" s="226" t="s">
        <v>244</v>
      </c>
      <c r="AP31" s="229" t="s">
        <v>907</v>
      </c>
      <c r="AQ31" s="326" t="s">
        <v>327</v>
      </c>
      <c r="AR31" s="440" t="s">
        <v>775</v>
      </c>
      <c r="AS31" s="514">
        <v>0</v>
      </c>
      <c r="AT31" s="227"/>
      <c r="AU31" s="229"/>
      <c r="AV31" s="326" t="s">
        <v>327</v>
      </c>
      <c r="AW31" s="447">
        <v>0.15</v>
      </c>
      <c r="AX31" s="228">
        <v>1</v>
      </c>
      <c r="AY31" s="238" t="s">
        <v>249</v>
      </c>
      <c r="AZ31" s="227"/>
      <c r="BA31" s="227">
        <v>5</v>
      </c>
      <c r="BB31" s="227">
        <v>5</v>
      </c>
      <c r="BC31" s="227" t="s">
        <v>294</v>
      </c>
      <c r="BD31" s="227"/>
      <c r="BE31" s="227"/>
      <c r="BF31" s="229"/>
      <c r="BG31" s="326" t="s">
        <v>327</v>
      </c>
      <c r="BH31" s="447">
        <v>0.15</v>
      </c>
      <c r="BI31" s="228">
        <v>1</v>
      </c>
      <c r="BJ31" s="227" t="s">
        <v>249</v>
      </c>
      <c r="BK31" s="227"/>
      <c r="BL31" s="227">
        <v>3.7</v>
      </c>
      <c r="BM31" s="227">
        <v>3</v>
      </c>
      <c r="BN31" s="227" t="s">
        <v>303</v>
      </c>
      <c r="BO31" s="227"/>
      <c r="BP31" s="227"/>
      <c r="BQ31" s="229"/>
      <c r="BR31" s="326" t="s">
        <v>327</v>
      </c>
      <c r="BS31" s="455">
        <v>0</v>
      </c>
      <c r="BT31" s="230">
        <v>0</v>
      </c>
      <c r="BU31" s="230">
        <v>0</v>
      </c>
      <c r="BV31" s="230">
        <v>0</v>
      </c>
      <c r="BW31" s="230">
        <v>0</v>
      </c>
      <c r="BX31" s="230">
        <v>0.1</v>
      </c>
      <c r="BY31" s="230">
        <v>0</v>
      </c>
      <c r="BZ31" s="230">
        <v>0</v>
      </c>
      <c r="CA31" s="230">
        <v>0</v>
      </c>
      <c r="CB31" s="230">
        <v>0</v>
      </c>
      <c r="CC31" s="230">
        <v>0.9</v>
      </c>
      <c r="CD31" s="231">
        <v>0</v>
      </c>
      <c r="CE31" s="229" t="s">
        <v>249</v>
      </c>
      <c r="CF31" s="326" t="s">
        <v>327</v>
      </c>
      <c r="CG31" s="381">
        <v>0</v>
      </c>
      <c r="CH31" s="382">
        <v>0.8</v>
      </c>
      <c r="CI31" s="382">
        <v>0</v>
      </c>
      <c r="CJ31" s="382">
        <v>0</v>
      </c>
      <c r="CK31" s="382">
        <v>0</v>
      </c>
      <c r="CL31" s="382">
        <v>0</v>
      </c>
      <c r="CM31" s="382">
        <v>0</v>
      </c>
      <c r="CN31" s="382">
        <v>0.2</v>
      </c>
      <c r="CO31" s="382">
        <v>0</v>
      </c>
      <c r="CP31" s="387">
        <v>0</v>
      </c>
      <c r="CQ31" s="229" t="s">
        <v>249</v>
      </c>
      <c r="CR31" s="326" t="s">
        <v>327</v>
      </c>
      <c r="CS31" s="232">
        <f t="shared" si="1"/>
        <v>0</v>
      </c>
      <c r="CT31" s="233">
        <f t="shared" si="2"/>
        <v>0</v>
      </c>
      <c r="CU31" s="233">
        <f t="shared" si="3"/>
        <v>0</v>
      </c>
      <c r="CV31" s="233">
        <f t="shared" si="4"/>
        <v>0</v>
      </c>
      <c r="CW31" s="233">
        <f t="shared" si="5"/>
        <v>0</v>
      </c>
      <c r="CX31" s="233">
        <f t="shared" si="6"/>
        <v>15134.999999999998</v>
      </c>
      <c r="CY31" s="233">
        <f t="shared" si="7"/>
        <v>0</v>
      </c>
      <c r="CZ31" s="233">
        <f t="shared" si="8"/>
        <v>0</v>
      </c>
      <c r="DA31" s="233">
        <f t="shared" si="9"/>
        <v>0</v>
      </c>
      <c r="DB31" s="233">
        <f t="shared" si="10"/>
        <v>0</v>
      </c>
      <c r="DC31" s="233">
        <f t="shared" si="11"/>
        <v>136214.99999999997</v>
      </c>
      <c r="DD31" s="233">
        <f t="shared" si="12"/>
        <v>0</v>
      </c>
      <c r="DE31" s="326"/>
      <c r="DF31" s="234">
        <f t="shared" si="13"/>
        <v>0</v>
      </c>
      <c r="DG31" s="235">
        <f t="shared" si="14"/>
        <v>121079.99999999999</v>
      </c>
      <c r="DH31" s="235">
        <f t="shared" si="15"/>
        <v>0</v>
      </c>
      <c r="DI31" s="235">
        <f t="shared" si="16"/>
        <v>0</v>
      </c>
      <c r="DJ31" s="235">
        <f t="shared" si="17"/>
        <v>0</v>
      </c>
      <c r="DK31" s="235">
        <f t="shared" si="18"/>
        <v>0</v>
      </c>
      <c r="DL31" s="235">
        <f t="shared" si="19"/>
        <v>0</v>
      </c>
      <c r="DM31" s="235">
        <f t="shared" si="20"/>
        <v>30269.999999999996</v>
      </c>
      <c r="DN31" s="235">
        <f t="shared" si="21"/>
        <v>0</v>
      </c>
      <c r="DO31" s="236">
        <f t="shared" si="22"/>
        <v>0</v>
      </c>
      <c r="DP31" s="326" t="s">
        <v>327</v>
      </c>
      <c r="DQ31" s="232">
        <f t="shared" si="30"/>
        <v>0</v>
      </c>
      <c r="DR31" s="233">
        <f t="shared" si="100"/>
        <v>0</v>
      </c>
      <c r="DS31" s="233">
        <f t="shared" si="101"/>
        <v>0</v>
      </c>
      <c r="DT31" s="233">
        <f t="shared" si="102"/>
        <v>0</v>
      </c>
      <c r="DU31" s="233">
        <f t="shared" si="103"/>
        <v>0</v>
      </c>
      <c r="DV31" s="233">
        <f t="shared" si="104"/>
        <v>15134.999999999998</v>
      </c>
      <c r="DW31" s="233">
        <f t="shared" si="105"/>
        <v>0</v>
      </c>
      <c r="DX31" s="233">
        <f t="shared" si="106"/>
        <v>0</v>
      </c>
      <c r="DY31" s="233">
        <f t="shared" si="107"/>
        <v>0</v>
      </c>
      <c r="DZ31" s="233">
        <f t="shared" si="108"/>
        <v>0</v>
      </c>
      <c r="EA31" s="233">
        <f t="shared" si="40"/>
        <v>136214.99999999997</v>
      </c>
      <c r="EB31" s="233">
        <f t="shared" si="109"/>
        <v>0</v>
      </c>
      <c r="EC31" s="326"/>
      <c r="ED31" s="234">
        <f t="shared" si="42"/>
        <v>0</v>
      </c>
      <c r="EE31" s="235">
        <f t="shared" si="128"/>
        <v>121079.99999999999</v>
      </c>
      <c r="EF31" s="235">
        <f t="shared" si="129"/>
        <v>0</v>
      </c>
      <c r="EG31" s="235">
        <f t="shared" si="130"/>
        <v>0</v>
      </c>
      <c r="EH31" s="235">
        <f t="shared" si="131"/>
        <v>0</v>
      </c>
      <c r="EI31" s="235">
        <f t="shared" si="132"/>
        <v>0</v>
      </c>
      <c r="EJ31" s="235">
        <f t="shared" si="133"/>
        <v>0</v>
      </c>
      <c r="EK31" s="235">
        <f t="shared" si="134"/>
        <v>30269.999999999996</v>
      </c>
      <c r="EL31" s="235">
        <f t="shared" si="135"/>
        <v>0</v>
      </c>
      <c r="EM31" s="236">
        <f t="shared" si="136"/>
        <v>0</v>
      </c>
      <c r="EN31" s="326" t="s">
        <v>327</v>
      </c>
      <c r="EO31" s="232">
        <f t="shared" si="43"/>
        <v>0</v>
      </c>
      <c r="EP31" s="233">
        <f t="shared" si="110"/>
        <v>0</v>
      </c>
      <c r="EQ31" s="233">
        <f t="shared" si="111"/>
        <v>0</v>
      </c>
      <c r="ER31" s="233">
        <f t="shared" si="112"/>
        <v>0</v>
      </c>
      <c r="ES31" s="233">
        <f t="shared" si="113"/>
        <v>0</v>
      </c>
      <c r="ET31" s="233">
        <f t="shared" si="114"/>
        <v>0</v>
      </c>
      <c r="EU31" s="233">
        <f t="shared" si="115"/>
        <v>0</v>
      </c>
      <c r="EV31" s="233">
        <f t="shared" si="116"/>
        <v>0</v>
      </c>
      <c r="EW31" s="233">
        <f t="shared" si="117"/>
        <v>0</v>
      </c>
      <c r="EX31" s="233">
        <f t="shared" si="118"/>
        <v>0</v>
      </c>
      <c r="EY31" s="233">
        <f t="shared" si="53"/>
        <v>0</v>
      </c>
      <c r="EZ31" s="233">
        <f t="shared" si="119"/>
        <v>0</v>
      </c>
      <c r="FA31" s="326"/>
      <c r="FB31" s="234">
        <f t="shared" si="55"/>
        <v>0</v>
      </c>
      <c r="FC31" s="235">
        <f t="shared" si="137"/>
        <v>0</v>
      </c>
      <c r="FD31" s="235">
        <f t="shared" si="138"/>
        <v>0</v>
      </c>
      <c r="FE31" s="235">
        <f t="shared" si="139"/>
        <v>0</v>
      </c>
      <c r="FF31" s="235">
        <f t="shared" si="140"/>
        <v>0</v>
      </c>
      <c r="FG31" s="235">
        <f t="shared" si="141"/>
        <v>0</v>
      </c>
      <c r="FH31" s="235">
        <f t="shared" si="142"/>
        <v>0</v>
      </c>
      <c r="FI31" s="235">
        <f t="shared" si="143"/>
        <v>0</v>
      </c>
      <c r="FJ31" s="235">
        <f t="shared" si="144"/>
        <v>0</v>
      </c>
      <c r="FK31" s="236">
        <f t="shared" si="145"/>
        <v>0</v>
      </c>
    </row>
    <row r="32" spans="1:167" s="6" customFormat="1">
      <c r="A32" s="186" t="s">
        <v>162</v>
      </c>
      <c r="B32" s="186" t="s">
        <v>160</v>
      </c>
      <c r="C32" s="187" t="s">
        <v>117</v>
      </c>
      <c r="D32" s="252">
        <f t="shared" si="56"/>
        <v>27</v>
      </c>
      <c r="E32" s="326" t="s">
        <v>327</v>
      </c>
      <c r="F32" s="154"/>
      <c r="G32" s="154"/>
      <c r="H32" s="154">
        <v>19200000</v>
      </c>
      <c r="I32" s="154">
        <v>13900000</v>
      </c>
      <c r="J32" s="154"/>
      <c r="K32" s="154"/>
      <c r="L32" s="481" t="s">
        <v>899</v>
      </c>
      <c r="M32" s="478"/>
      <c r="N32" s="326" t="s">
        <v>327</v>
      </c>
      <c r="O32" s="191"/>
      <c r="P32" s="191"/>
      <c r="Q32" s="191"/>
      <c r="R32" s="191"/>
      <c r="S32" s="189"/>
      <c r="T32" s="189"/>
      <c r="U32" s="193"/>
      <c r="V32" s="193"/>
      <c r="W32" s="326" t="s">
        <v>327</v>
      </c>
      <c r="X32" s="189">
        <v>0</v>
      </c>
      <c r="Y32" s="189">
        <v>0</v>
      </c>
      <c r="Z32" s="189">
        <v>0</v>
      </c>
      <c r="AA32" s="189">
        <v>0</v>
      </c>
      <c r="AB32" s="189">
        <v>1404000</v>
      </c>
      <c r="AC32" s="189">
        <v>0</v>
      </c>
      <c r="AD32" s="189">
        <v>1404000</v>
      </c>
      <c r="AE32" s="189" t="s">
        <v>386</v>
      </c>
      <c r="AF32" s="255" t="s">
        <v>191</v>
      </c>
      <c r="AG32" s="326" t="s">
        <v>327</v>
      </c>
      <c r="AH32" s="189"/>
      <c r="AI32" s="189"/>
      <c r="AJ32" s="189">
        <f t="shared" ref="AJ32:AK32" si="213">H32</f>
        <v>19200000</v>
      </c>
      <c r="AK32" s="189">
        <f t="shared" si="213"/>
        <v>13900000</v>
      </c>
      <c r="AL32" s="189"/>
      <c r="AM32" s="189"/>
      <c r="AN32" s="189">
        <f t="shared" si="0"/>
        <v>13900000</v>
      </c>
      <c r="AO32" s="189" t="str">
        <f>L32</f>
        <v>Duncan 2009</v>
      </c>
      <c r="AP32" s="255"/>
      <c r="AQ32" s="326" t="s">
        <v>327</v>
      </c>
      <c r="AR32" s="194" t="s">
        <v>776</v>
      </c>
      <c r="AS32" s="511">
        <v>0.15</v>
      </c>
      <c r="AT32" s="481" t="s">
        <v>244</v>
      </c>
      <c r="AU32" s="193"/>
      <c r="AV32" s="326" t="s">
        <v>327</v>
      </c>
      <c r="AW32" s="195">
        <v>1</v>
      </c>
      <c r="AX32" s="196">
        <v>1</v>
      </c>
      <c r="AY32" s="192" t="s">
        <v>249</v>
      </c>
      <c r="AZ32" s="193"/>
      <c r="BA32" s="193">
        <v>5</v>
      </c>
      <c r="BB32" s="193">
        <v>5</v>
      </c>
      <c r="BC32" s="193" t="s">
        <v>249</v>
      </c>
      <c r="BD32" s="193"/>
      <c r="BE32" s="193"/>
      <c r="BF32" s="197"/>
      <c r="BG32" s="326" t="s">
        <v>327</v>
      </c>
      <c r="BH32" s="195">
        <v>1</v>
      </c>
      <c r="BI32" s="196">
        <v>1</v>
      </c>
      <c r="BJ32" s="193" t="s">
        <v>249</v>
      </c>
      <c r="BK32" s="193"/>
      <c r="BL32" s="193">
        <v>3.7</v>
      </c>
      <c r="BM32" s="193">
        <v>0.44400000000000001</v>
      </c>
      <c r="BN32" s="193" t="s">
        <v>321</v>
      </c>
      <c r="BO32" s="481" t="s">
        <v>327</v>
      </c>
      <c r="BP32" s="193"/>
      <c r="BQ32" s="193"/>
      <c r="BR32" s="326" t="s">
        <v>327</v>
      </c>
      <c r="BS32" s="198">
        <v>0</v>
      </c>
      <c r="BT32" s="198">
        <v>0</v>
      </c>
      <c r="BU32" s="198">
        <v>0</v>
      </c>
      <c r="BV32" s="198">
        <v>0</v>
      </c>
      <c r="BW32" s="198">
        <v>0</v>
      </c>
      <c r="BX32" s="198">
        <v>0</v>
      </c>
      <c r="BY32" s="198">
        <v>0</v>
      </c>
      <c r="BZ32" s="198">
        <v>0</v>
      </c>
      <c r="CA32" s="198">
        <v>0</v>
      </c>
      <c r="CB32" s="198">
        <v>0</v>
      </c>
      <c r="CC32" s="198">
        <v>1</v>
      </c>
      <c r="CD32" s="199">
        <v>0</v>
      </c>
      <c r="CE32" s="193" t="s">
        <v>249</v>
      </c>
      <c r="CF32" s="326" t="s">
        <v>327</v>
      </c>
      <c r="CG32" s="379">
        <v>0</v>
      </c>
      <c r="CH32" s="380">
        <v>0.9</v>
      </c>
      <c r="CI32" s="380">
        <v>0</v>
      </c>
      <c r="CJ32" s="380">
        <v>0</v>
      </c>
      <c r="CK32" s="380">
        <v>0</v>
      </c>
      <c r="CL32" s="380">
        <v>0</v>
      </c>
      <c r="CM32" s="380">
        <v>0</v>
      </c>
      <c r="CN32" s="380">
        <v>0.1</v>
      </c>
      <c r="CO32" s="380">
        <v>0</v>
      </c>
      <c r="CP32" s="386">
        <v>0</v>
      </c>
      <c r="CQ32" s="193" t="s">
        <v>249</v>
      </c>
      <c r="CR32" s="326" t="s">
        <v>327</v>
      </c>
      <c r="CS32" s="200">
        <f t="shared" si="1"/>
        <v>0</v>
      </c>
      <c r="CT32" s="154">
        <f t="shared" si="2"/>
        <v>0</v>
      </c>
      <c r="CU32" s="154">
        <f t="shared" si="3"/>
        <v>0</v>
      </c>
      <c r="CV32" s="154">
        <f t="shared" si="4"/>
        <v>0</v>
      </c>
      <c r="CW32" s="154">
        <f t="shared" si="5"/>
        <v>0</v>
      </c>
      <c r="CX32" s="154">
        <f t="shared" si="6"/>
        <v>0</v>
      </c>
      <c r="CY32" s="154">
        <f t="shared" si="7"/>
        <v>0</v>
      </c>
      <c r="CZ32" s="154">
        <f t="shared" si="8"/>
        <v>0</v>
      </c>
      <c r="DA32" s="154">
        <f t="shared" si="9"/>
        <v>0</v>
      </c>
      <c r="DB32" s="154">
        <f t="shared" si="10"/>
        <v>0</v>
      </c>
      <c r="DC32" s="154">
        <f t="shared" si="11"/>
        <v>13900000</v>
      </c>
      <c r="DD32" s="154">
        <f t="shared" si="12"/>
        <v>0</v>
      </c>
      <c r="DE32" s="326"/>
      <c r="DF32" s="201">
        <f t="shared" si="13"/>
        <v>0</v>
      </c>
      <c r="DG32" s="202">
        <f t="shared" si="14"/>
        <v>12510000</v>
      </c>
      <c r="DH32" s="202">
        <f t="shared" si="15"/>
        <v>0</v>
      </c>
      <c r="DI32" s="202">
        <f t="shared" si="16"/>
        <v>0</v>
      </c>
      <c r="DJ32" s="202">
        <f t="shared" si="17"/>
        <v>0</v>
      </c>
      <c r="DK32" s="202">
        <f t="shared" si="18"/>
        <v>0</v>
      </c>
      <c r="DL32" s="202">
        <f t="shared" si="19"/>
        <v>0</v>
      </c>
      <c r="DM32" s="202">
        <f t="shared" si="20"/>
        <v>1390000</v>
      </c>
      <c r="DN32" s="202">
        <f t="shared" si="21"/>
        <v>0</v>
      </c>
      <c r="DO32" s="203">
        <f t="shared" si="22"/>
        <v>0</v>
      </c>
      <c r="DP32" s="326" t="s">
        <v>327</v>
      </c>
      <c r="DQ32" s="200">
        <f t="shared" si="30"/>
        <v>0</v>
      </c>
      <c r="DR32" s="154">
        <f t="shared" si="100"/>
        <v>0</v>
      </c>
      <c r="DS32" s="154">
        <f t="shared" si="101"/>
        <v>0</v>
      </c>
      <c r="DT32" s="154">
        <f t="shared" si="102"/>
        <v>0</v>
      </c>
      <c r="DU32" s="154">
        <f t="shared" si="103"/>
        <v>0</v>
      </c>
      <c r="DV32" s="154">
        <f t="shared" si="104"/>
        <v>0</v>
      </c>
      <c r="DW32" s="154">
        <f t="shared" si="105"/>
        <v>0</v>
      </c>
      <c r="DX32" s="154">
        <f t="shared" si="106"/>
        <v>0</v>
      </c>
      <c r="DY32" s="154">
        <f t="shared" si="107"/>
        <v>0</v>
      </c>
      <c r="DZ32" s="154">
        <f t="shared" si="108"/>
        <v>0</v>
      </c>
      <c r="EA32" s="154">
        <f t="shared" si="40"/>
        <v>11815000</v>
      </c>
      <c r="EB32" s="154">
        <f t="shared" si="109"/>
        <v>0</v>
      </c>
      <c r="EC32" s="326"/>
      <c r="ED32" s="201">
        <f t="shared" si="42"/>
        <v>0</v>
      </c>
      <c r="EE32" s="202">
        <f t="shared" si="128"/>
        <v>10633500</v>
      </c>
      <c r="EF32" s="202">
        <f t="shared" si="129"/>
        <v>0</v>
      </c>
      <c r="EG32" s="202">
        <f t="shared" si="130"/>
        <v>0</v>
      </c>
      <c r="EH32" s="202">
        <f t="shared" si="131"/>
        <v>0</v>
      </c>
      <c r="EI32" s="202">
        <f t="shared" si="132"/>
        <v>0</v>
      </c>
      <c r="EJ32" s="202">
        <f t="shared" si="133"/>
        <v>0</v>
      </c>
      <c r="EK32" s="202">
        <f t="shared" si="134"/>
        <v>1181500</v>
      </c>
      <c r="EL32" s="202">
        <f t="shared" si="135"/>
        <v>0</v>
      </c>
      <c r="EM32" s="203">
        <f t="shared" si="136"/>
        <v>0</v>
      </c>
      <c r="EN32" s="326" t="s">
        <v>327</v>
      </c>
      <c r="EO32" s="200">
        <f t="shared" si="43"/>
        <v>0</v>
      </c>
      <c r="EP32" s="154">
        <f t="shared" si="110"/>
        <v>0</v>
      </c>
      <c r="EQ32" s="154">
        <f t="shared" si="111"/>
        <v>0</v>
      </c>
      <c r="ER32" s="154">
        <f t="shared" si="112"/>
        <v>0</v>
      </c>
      <c r="ES32" s="154">
        <f t="shared" si="113"/>
        <v>0</v>
      </c>
      <c r="ET32" s="154">
        <f t="shared" si="114"/>
        <v>0</v>
      </c>
      <c r="EU32" s="154">
        <f t="shared" si="115"/>
        <v>0</v>
      </c>
      <c r="EV32" s="154">
        <f t="shared" si="116"/>
        <v>0</v>
      </c>
      <c r="EW32" s="154">
        <f t="shared" si="117"/>
        <v>0</v>
      </c>
      <c r="EX32" s="154">
        <f t="shared" si="118"/>
        <v>0</v>
      </c>
      <c r="EY32" s="154">
        <f t="shared" si="53"/>
        <v>2085000</v>
      </c>
      <c r="EZ32" s="154">
        <f t="shared" si="119"/>
        <v>0</v>
      </c>
      <c r="FA32" s="326"/>
      <c r="FB32" s="201">
        <f t="shared" si="55"/>
        <v>0</v>
      </c>
      <c r="FC32" s="202">
        <f t="shared" si="137"/>
        <v>1876500</v>
      </c>
      <c r="FD32" s="202">
        <f t="shared" si="138"/>
        <v>0</v>
      </c>
      <c r="FE32" s="202">
        <f t="shared" si="139"/>
        <v>0</v>
      </c>
      <c r="FF32" s="202">
        <f t="shared" si="140"/>
        <v>0</v>
      </c>
      <c r="FG32" s="202">
        <f t="shared" si="141"/>
        <v>0</v>
      </c>
      <c r="FH32" s="202">
        <f t="shared" si="142"/>
        <v>0</v>
      </c>
      <c r="FI32" s="202">
        <f t="shared" si="143"/>
        <v>208500</v>
      </c>
      <c r="FJ32" s="202">
        <f t="shared" si="144"/>
        <v>0</v>
      </c>
      <c r="FK32" s="203">
        <f t="shared" si="145"/>
        <v>0</v>
      </c>
    </row>
    <row r="33" spans="1:167" s="6" customFormat="1">
      <c r="A33" s="204" t="s">
        <v>162</v>
      </c>
      <c r="B33" s="204" t="s">
        <v>160</v>
      </c>
      <c r="C33" s="205" t="s">
        <v>118</v>
      </c>
      <c r="D33" s="206">
        <f t="shared" si="56"/>
        <v>28</v>
      </c>
      <c r="E33" s="327" t="s">
        <v>327</v>
      </c>
      <c r="F33" s="219">
        <v>11295000</v>
      </c>
      <c r="G33" s="219">
        <v>10025000</v>
      </c>
      <c r="H33" s="219">
        <v>8354000</v>
      </c>
      <c r="I33" s="219">
        <v>6900000</v>
      </c>
      <c r="J33" s="219">
        <v>6130000</v>
      </c>
      <c r="K33" s="219">
        <v>5517000</v>
      </c>
      <c r="L33" s="479" t="s">
        <v>895</v>
      </c>
      <c r="M33" s="480" t="s">
        <v>837</v>
      </c>
      <c r="N33" s="327" t="s">
        <v>327</v>
      </c>
      <c r="O33" s="209"/>
      <c r="P33" s="209"/>
      <c r="Q33" s="209"/>
      <c r="R33" s="209"/>
      <c r="S33" s="207"/>
      <c r="T33" s="207"/>
      <c r="U33" s="211"/>
      <c r="V33" s="211"/>
      <c r="W33" s="326" t="s">
        <v>327</v>
      </c>
      <c r="X33" s="207">
        <v>0</v>
      </c>
      <c r="Y33" s="207">
        <v>12550000</v>
      </c>
      <c r="Z33" s="207">
        <v>11295000</v>
      </c>
      <c r="AA33" s="207">
        <v>10025000</v>
      </c>
      <c r="AB33" s="207">
        <v>8354000</v>
      </c>
      <c r="AC33" s="207">
        <v>7518000</v>
      </c>
      <c r="AD33" s="207">
        <v>8354000</v>
      </c>
      <c r="AE33" s="207" t="s">
        <v>748</v>
      </c>
      <c r="AF33" s="211" t="s">
        <v>327</v>
      </c>
      <c r="AG33" s="326" t="s">
        <v>327</v>
      </c>
      <c r="AH33" s="207">
        <f t="shared" ref="AH33:AM34" si="214">F33</f>
        <v>11295000</v>
      </c>
      <c r="AI33" s="207">
        <f t="shared" si="214"/>
        <v>10025000</v>
      </c>
      <c r="AJ33" s="207">
        <f t="shared" si="214"/>
        <v>8354000</v>
      </c>
      <c r="AK33" s="207">
        <f t="shared" si="214"/>
        <v>6900000</v>
      </c>
      <c r="AL33" s="207">
        <f t="shared" si="214"/>
        <v>6130000</v>
      </c>
      <c r="AM33" s="207">
        <f t="shared" si="214"/>
        <v>5517000</v>
      </c>
      <c r="AN33" s="207">
        <f t="shared" si="0"/>
        <v>6900000</v>
      </c>
      <c r="AO33" s="207" t="str">
        <f t="shared" ref="AO33:AP34" si="215">L33</f>
        <v>CEA 2010</v>
      </c>
      <c r="AP33" s="211" t="str">
        <f t="shared" si="215"/>
        <v>Sales to dealers of "Family Radio Service Devices"</v>
      </c>
      <c r="AQ33" s="326" t="s">
        <v>327</v>
      </c>
      <c r="AR33" s="216" t="s">
        <v>776</v>
      </c>
      <c r="AS33" s="512">
        <v>0.67</v>
      </c>
      <c r="AT33" s="211" t="s">
        <v>244</v>
      </c>
      <c r="AU33" s="211" t="s">
        <v>885</v>
      </c>
      <c r="AV33" s="326" t="s">
        <v>327</v>
      </c>
      <c r="AW33" s="213">
        <v>0.8</v>
      </c>
      <c r="AX33" s="214">
        <v>1</v>
      </c>
      <c r="AY33" s="211" t="s">
        <v>249</v>
      </c>
      <c r="AZ33" s="211"/>
      <c r="BA33" s="211"/>
      <c r="BB33" s="211"/>
      <c r="BC33" s="211"/>
      <c r="BD33" s="211"/>
      <c r="BE33" s="211"/>
      <c r="BF33" s="215"/>
      <c r="BG33" s="326" t="s">
        <v>327</v>
      </c>
      <c r="BH33" s="213">
        <v>0.8</v>
      </c>
      <c r="BI33" s="214">
        <v>2</v>
      </c>
      <c r="BJ33" s="211" t="s">
        <v>249</v>
      </c>
      <c r="BK33" s="211"/>
      <c r="BL33" s="211">
        <v>4.8</v>
      </c>
      <c r="BM33" s="211">
        <v>3.36</v>
      </c>
      <c r="BN33" s="211" t="s">
        <v>272</v>
      </c>
      <c r="BO33" s="211"/>
      <c r="BP33" s="211"/>
      <c r="BQ33" s="211"/>
      <c r="BR33" s="326" t="s">
        <v>327</v>
      </c>
      <c r="BS33" s="216">
        <v>0.2</v>
      </c>
      <c r="BT33" s="216">
        <v>0.2</v>
      </c>
      <c r="BU33" s="216">
        <v>0</v>
      </c>
      <c r="BV33" s="216">
        <v>0</v>
      </c>
      <c r="BW33" s="216">
        <v>0</v>
      </c>
      <c r="BX33" s="216">
        <v>0.8</v>
      </c>
      <c r="BY33" s="216">
        <v>0</v>
      </c>
      <c r="BZ33" s="216">
        <v>0</v>
      </c>
      <c r="CA33" s="216">
        <v>0</v>
      </c>
      <c r="CB33" s="216">
        <v>0</v>
      </c>
      <c r="CC33" s="216">
        <v>0</v>
      </c>
      <c r="CD33" s="217">
        <v>0</v>
      </c>
      <c r="CE33" s="211" t="s">
        <v>249</v>
      </c>
      <c r="CF33" s="326" t="s">
        <v>327</v>
      </c>
      <c r="CG33" s="377">
        <v>0</v>
      </c>
      <c r="CH33" s="378">
        <v>1</v>
      </c>
      <c r="CI33" s="378">
        <v>0</v>
      </c>
      <c r="CJ33" s="378">
        <v>0</v>
      </c>
      <c r="CK33" s="378">
        <v>0</v>
      </c>
      <c r="CL33" s="378">
        <v>0</v>
      </c>
      <c r="CM33" s="378">
        <v>0</v>
      </c>
      <c r="CN33" s="378">
        <v>0</v>
      </c>
      <c r="CO33" s="378">
        <v>0</v>
      </c>
      <c r="CP33" s="385">
        <v>0</v>
      </c>
      <c r="CQ33" s="211" t="s">
        <v>249</v>
      </c>
      <c r="CR33" s="326" t="s">
        <v>327</v>
      </c>
      <c r="CS33" s="218">
        <f t="shared" si="1"/>
        <v>1104000</v>
      </c>
      <c r="CT33" s="219">
        <f t="shared" si="2"/>
        <v>1104000</v>
      </c>
      <c r="CU33" s="219">
        <f t="shared" si="3"/>
        <v>0</v>
      </c>
      <c r="CV33" s="219">
        <f t="shared" si="4"/>
        <v>0</v>
      </c>
      <c r="CW33" s="219">
        <f t="shared" si="5"/>
        <v>0</v>
      </c>
      <c r="CX33" s="219">
        <f t="shared" si="6"/>
        <v>4416000</v>
      </c>
      <c r="CY33" s="219">
        <f t="shared" si="7"/>
        <v>0</v>
      </c>
      <c r="CZ33" s="219">
        <f t="shared" si="8"/>
        <v>0</v>
      </c>
      <c r="DA33" s="219">
        <f t="shared" si="9"/>
        <v>0</v>
      </c>
      <c r="DB33" s="219">
        <f t="shared" si="10"/>
        <v>0</v>
      </c>
      <c r="DC33" s="219">
        <f t="shared" si="11"/>
        <v>0</v>
      </c>
      <c r="DD33" s="219">
        <f t="shared" si="12"/>
        <v>0</v>
      </c>
      <c r="DE33" s="326"/>
      <c r="DF33" s="220">
        <f t="shared" si="13"/>
        <v>0</v>
      </c>
      <c r="DG33" s="221">
        <f t="shared" si="14"/>
        <v>11040000</v>
      </c>
      <c r="DH33" s="221">
        <f t="shared" si="15"/>
        <v>0</v>
      </c>
      <c r="DI33" s="221">
        <f t="shared" si="16"/>
        <v>0</v>
      </c>
      <c r="DJ33" s="221">
        <f t="shared" si="17"/>
        <v>0</v>
      </c>
      <c r="DK33" s="221">
        <f t="shared" si="18"/>
        <v>0</v>
      </c>
      <c r="DL33" s="221">
        <f t="shared" si="19"/>
        <v>0</v>
      </c>
      <c r="DM33" s="221">
        <f t="shared" si="20"/>
        <v>0</v>
      </c>
      <c r="DN33" s="221">
        <f t="shared" si="21"/>
        <v>0</v>
      </c>
      <c r="DO33" s="222">
        <f t="shared" si="22"/>
        <v>0</v>
      </c>
      <c r="DP33" s="326" t="s">
        <v>327</v>
      </c>
      <c r="DQ33" s="218">
        <f t="shared" si="30"/>
        <v>364319.99999999994</v>
      </c>
      <c r="DR33" s="219">
        <f t="shared" si="100"/>
        <v>364319.99999999994</v>
      </c>
      <c r="DS33" s="219">
        <f t="shared" si="101"/>
        <v>0</v>
      </c>
      <c r="DT33" s="219">
        <f t="shared" si="102"/>
        <v>0</v>
      </c>
      <c r="DU33" s="219">
        <f t="shared" si="103"/>
        <v>0</v>
      </c>
      <c r="DV33" s="219">
        <f t="shared" si="104"/>
        <v>1457279.9999999998</v>
      </c>
      <c r="DW33" s="219">
        <f t="shared" si="105"/>
        <v>0</v>
      </c>
      <c r="DX33" s="219">
        <f t="shared" si="106"/>
        <v>0</v>
      </c>
      <c r="DY33" s="219">
        <f t="shared" si="107"/>
        <v>0</v>
      </c>
      <c r="DZ33" s="219">
        <f t="shared" si="108"/>
        <v>0</v>
      </c>
      <c r="EA33" s="219">
        <f t="shared" si="40"/>
        <v>0</v>
      </c>
      <c r="EB33" s="219">
        <f t="shared" si="109"/>
        <v>0</v>
      </c>
      <c r="EC33" s="326"/>
      <c r="ED33" s="220">
        <f t="shared" si="42"/>
        <v>0</v>
      </c>
      <c r="EE33" s="221">
        <f t="shared" si="128"/>
        <v>3643199.9999999995</v>
      </c>
      <c r="EF33" s="221">
        <f t="shared" si="129"/>
        <v>0</v>
      </c>
      <c r="EG33" s="221">
        <f t="shared" si="130"/>
        <v>0</v>
      </c>
      <c r="EH33" s="221">
        <f t="shared" si="131"/>
        <v>0</v>
      </c>
      <c r="EI33" s="221">
        <f t="shared" si="132"/>
        <v>0</v>
      </c>
      <c r="EJ33" s="221">
        <f t="shared" si="133"/>
        <v>0</v>
      </c>
      <c r="EK33" s="221">
        <f t="shared" si="134"/>
        <v>0</v>
      </c>
      <c r="EL33" s="221">
        <f t="shared" si="135"/>
        <v>0</v>
      </c>
      <c r="EM33" s="222">
        <f t="shared" si="136"/>
        <v>0</v>
      </c>
      <c r="EN33" s="326" t="s">
        <v>327</v>
      </c>
      <c r="EO33" s="218">
        <f t="shared" si="43"/>
        <v>739680</v>
      </c>
      <c r="EP33" s="219">
        <f t="shared" si="110"/>
        <v>739680</v>
      </c>
      <c r="EQ33" s="219">
        <f t="shared" si="111"/>
        <v>0</v>
      </c>
      <c r="ER33" s="219">
        <f t="shared" si="112"/>
        <v>0</v>
      </c>
      <c r="ES33" s="219">
        <f t="shared" si="113"/>
        <v>0</v>
      </c>
      <c r="ET33" s="219">
        <f t="shared" si="114"/>
        <v>2958720</v>
      </c>
      <c r="EU33" s="219">
        <f t="shared" si="115"/>
        <v>0</v>
      </c>
      <c r="EV33" s="219">
        <f t="shared" si="116"/>
        <v>0</v>
      </c>
      <c r="EW33" s="219">
        <f t="shared" si="117"/>
        <v>0</v>
      </c>
      <c r="EX33" s="219">
        <f t="shared" si="118"/>
        <v>0</v>
      </c>
      <c r="EY33" s="219">
        <f t="shared" si="53"/>
        <v>0</v>
      </c>
      <c r="EZ33" s="219">
        <f t="shared" si="119"/>
        <v>0</v>
      </c>
      <c r="FA33" s="326"/>
      <c r="FB33" s="220">
        <f t="shared" si="55"/>
        <v>0</v>
      </c>
      <c r="FC33" s="221">
        <f t="shared" si="137"/>
        <v>7396800</v>
      </c>
      <c r="FD33" s="221">
        <f t="shared" si="138"/>
        <v>0</v>
      </c>
      <c r="FE33" s="221">
        <f t="shared" si="139"/>
        <v>0</v>
      </c>
      <c r="FF33" s="221">
        <f t="shared" si="140"/>
        <v>0</v>
      </c>
      <c r="FG33" s="221">
        <f t="shared" si="141"/>
        <v>0</v>
      </c>
      <c r="FH33" s="221">
        <f t="shared" si="142"/>
        <v>0</v>
      </c>
      <c r="FI33" s="221">
        <f t="shared" si="143"/>
        <v>0</v>
      </c>
      <c r="FJ33" s="221">
        <f t="shared" si="144"/>
        <v>0</v>
      </c>
      <c r="FK33" s="222">
        <f t="shared" si="145"/>
        <v>0</v>
      </c>
    </row>
    <row r="34" spans="1:167" s="6" customFormat="1">
      <c r="A34" s="186" t="s">
        <v>162</v>
      </c>
      <c r="B34" s="186" t="s">
        <v>160</v>
      </c>
      <c r="C34" s="187" t="s">
        <v>119</v>
      </c>
      <c r="D34" s="188">
        <f t="shared" si="56"/>
        <v>29</v>
      </c>
      <c r="E34" s="327" t="s">
        <v>327</v>
      </c>
      <c r="F34" s="154">
        <v>99472000</v>
      </c>
      <c r="G34" s="154">
        <v>101500000</v>
      </c>
      <c r="H34" s="154">
        <v>102775000</v>
      </c>
      <c r="I34" s="154">
        <v>94239000</v>
      </c>
      <c r="J34" s="154">
        <v>90074000</v>
      </c>
      <c r="K34" s="154">
        <v>82122000</v>
      </c>
      <c r="L34" s="481" t="s">
        <v>895</v>
      </c>
      <c r="M34" s="478" t="s">
        <v>327</v>
      </c>
      <c r="N34" s="327" t="s">
        <v>327</v>
      </c>
      <c r="O34" s="191"/>
      <c r="P34" s="191"/>
      <c r="Q34" s="191"/>
      <c r="R34" s="191"/>
      <c r="S34" s="189"/>
      <c r="T34" s="189"/>
      <c r="U34" s="193"/>
      <c r="V34" s="193"/>
      <c r="W34" s="326" t="s">
        <v>327</v>
      </c>
      <c r="X34" s="189">
        <v>84586000</v>
      </c>
      <c r="Y34" s="189">
        <v>93962000</v>
      </c>
      <c r="Z34" s="189">
        <v>110754000</v>
      </c>
      <c r="AA34" s="189">
        <v>121000000</v>
      </c>
      <c r="AB34" s="189">
        <v>131400000</v>
      </c>
      <c r="AC34" s="189">
        <v>121403000</v>
      </c>
      <c r="AD34" s="189">
        <v>131400000</v>
      </c>
      <c r="AE34" s="189" t="s">
        <v>643</v>
      </c>
      <c r="AF34" s="193" t="s">
        <v>214</v>
      </c>
      <c r="AG34" s="326" t="s">
        <v>327</v>
      </c>
      <c r="AH34" s="189">
        <f t="shared" si="214"/>
        <v>99472000</v>
      </c>
      <c r="AI34" s="189">
        <f t="shared" si="214"/>
        <v>101500000</v>
      </c>
      <c r="AJ34" s="189">
        <f t="shared" si="214"/>
        <v>102775000</v>
      </c>
      <c r="AK34" s="189">
        <f t="shared" si="214"/>
        <v>94239000</v>
      </c>
      <c r="AL34" s="189">
        <f t="shared" si="214"/>
        <v>90074000</v>
      </c>
      <c r="AM34" s="189">
        <f t="shared" si="214"/>
        <v>82122000</v>
      </c>
      <c r="AN34" s="189">
        <f t="shared" si="0"/>
        <v>94239000</v>
      </c>
      <c r="AO34" s="189" t="str">
        <f t="shared" si="215"/>
        <v>CEA 2010</v>
      </c>
      <c r="AP34" s="193" t="str">
        <f t="shared" si="215"/>
        <v xml:space="preserve"> </v>
      </c>
      <c r="AQ34" s="326" t="s">
        <v>327</v>
      </c>
      <c r="AR34" s="194" t="s">
        <v>776</v>
      </c>
      <c r="AS34" s="511">
        <v>0.1</v>
      </c>
      <c r="AT34" s="481" t="s">
        <v>244</v>
      </c>
      <c r="AU34" s="193"/>
      <c r="AV34" s="326" t="s">
        <v>327</v>
      </c>
      <c r="AW34" s="195">
        <v>0.5</v>
      </c>
      <c r="AX34" s="196">
        <v>1</v>
      </c>
      <c r="AY34" s="193" t="s">
        <v>220</v>
      </c>
      <c r="AZ34" s="193"/>
      <c r="BA34" s="193">
        <v>5</v>
      </c>
      <c r="BB34" s="193">
        <v>5</v>
      </c>
      <c r="BC34" s="193" t="s">
        <v>294</v>
      </c>
      <c r="BD34" s="193">
        <v>5</v>
      </c>
      <c r="BE34" s="193">
        <v>2.5</v>
      </c>
      <c r="BF34" s="197" t="s">
        <v>297</v>
      </c>
      <c r="BG34" s="326" t="s">
        <v>327</v>
      </c>
      <c r="BH34" s="195">
        <v>1</v>
      </c>
      <c r="BI34" s="196">
        <v>1</v>
      </c>
      <c r="BJ34" s="193" t="s">
        <v>274</v>
      </c>
      <c r="BK34" s="193"/>
      <c r="BL34" s="193">
        <v>3.7</v>
      </c>
      <c r="BM34" s="193">
        <v>4.4400000000000004</v>
      </c>
      <c r="BN34" s="193" t="s">
        <v>302</v>
      </c>
      <c r="BO34" s="193"/>
      <c r="BP34" s="193"/>
      <c r="BQ34" s="193"/>
      <c r="BR34" s="326" t="s">
        <v>327</v>
      </c>
      <c r="BS34" s="198">
        <v>0.2</v>
      </c>
      <c r="BT34" s="198">
        <v>0.2</v>
      </c>
      <c r="BU34" s="198">
        <v>0</v>
      </c>
      <c r="BV34" s="198">
        <v>0</v>
      </c>
      <c r="BW34" s="198">
        <v>0</v>
      </c>
      <c r="BX34" s="198">
        <v>0.7</v>
      </c>
      <c r="BY34" s="198">
        <v>0</v>
      </c>
      <c r="BZ34" s="198">
        <v>0</v>
      </c>
      <c r="CA34" s="198">
        <v>0</v>
      </c>
      <c r="CB34" s="198">
        <v>0</v>
      </c>
      <c r="CC34" s="198">
        <v>0.1</v>
      </c>
      <c r="CD34" s="199">
        <v>0</v>
      </c>
      <c r="CE34" s="193" t="s">
        <v>249</v>
      </c>
      <c r="CF34" s="326" t="s">
        <v>327</v>
      </c>
      <c r="CG34" s="379">
        <v>0</v>
      </c>
      <c r="CH34" s="380">
        <v>0.8</v>
      </c>
      <c r="CI34" s="380">
        <v>0</v>
      </c>
      <c r="CJ34" s="380">
        <v>0</v>
      </c>
      <c r="CK34" s="380">
        <v>0</v>
      </c>
      <c r="CL34" s="380">
        <v>0</v>
      </c>
      <c r="CM34" s="380">
        <v>0</v>
      </c>
      <c r="CN34" s="380">
        <v>0.2</v>
      </c>
      <c r="CO34" s="380">
        <v>0</v>
      </c>
      <c r="CP34" s="386">
        <v>0</v>
      </c>
      <c r="CQ34" s="193" t="s">
        <v>249</v>
      </c>
      <c r="CR34" s="326" t="s">
        <v>327</v>
      </c>
      <c r="CS34" s="200">
        <f t="shared" si="1"/>
        <v>9423900</v>
      </c>
      <c r="CT34" s="154">
        <f t="shared" si="2"/>
        <v>9423900</v>
      </c>
      <c r="CU34" s="154">
        <f t="shared" si="3"/>
        <v>0</v>
      </c>
      <c r="CV34" s="154">
        <f t="shared" si="4"/>
        <v>0</v>
      </c>
      <c r="CW34" s="154">
        <f t="shared" si="5"/>
        <v>0</v>
      </c>
      <c r="CX34" s="154">
        <f t="shared" si="6"/>
        <v>32983649.999999996</v>
      </c>
      <c r="CY34" s="154">
        <f t="shared" si="7"/>
        <v>0</v>
      </c>
      <c r="CZ34" s="154">
        <f t="shared" si="8"/>
        <v>0</v>
      </c>
      <c r="DA34" s="154">
        <f t="shared" si="9"/>
        <v>0</v>
      </c>
      <c r="DB34" s="154">
        <f t="shared" si="10"/>
        <v>0</v>
      </c>
      <c r="DC34" s="154">
        <f t="shared" si="11"/>
        <v>4711950</v>
      </c>
      <c r="DD34" s="154">
        <f t="shared" si="12"/>
        <v>0</v>
      </c>
      <c r="DE34" s="326"/>
      <c r="DF34" s="201">
        <f t="shared" si="13"/>
        <v>0</v>
      </c>
      <c r="DG34" s="202">
        <f t="shared" si="14"/>
        <v>75391200</v>
      </c>
      <c r="DH34" s="202">
        <f t="shared" si="15"/>
        <v>0</v>
      </c>
      <c r="DI34" s="202">
        <f t="shared" si="16"/>
        <v>0</v>
      </c>
      <c r="DJ34" s="202">
        <f t="shared" si="17"/>
        <v>0</v>
      </c>
      <c r="DK34" s="202">
        <f t="shared" si="18"/>
        <v>0</v>
      </c>
      <c r="DL34" s="202">
        <f t="shared" si="19"/>
        <v>0</v>
      </c>
      <c r="DM34" s="202">
        <f t="shared" si="20"/>
        <v>18847800</v>
      </c>
      <c r="DN34" s="202">
        <f t="shared" si="21"/>
        <v>0</v>
      </c>
      <c r="DO34" s="203">
        <f t="shared" si="22"/>
        <v>0</v>
      </c>
      <c r="DP34" s="326" t="s">
        <v>327</v>
      </c>
      <c r="DQ34" s="200">
        <f t="shared" si="30"/>
        <v>8481510</v>
      </c>
      <c r="DR34" s="154">
        <f t="shared" si="100"/>
        <v>8481510</v>
      </c>
      <c r="DS34" s="154">
        <f t="shared" si="101"/>
        <v>0</v>
      </c>
      <c r="DT34" s="154">
        <f t="shared" si="102"/>
        <v>0</v>
      </c>
      <c r="DU34" s="154">
        <f t="shared" si="103"/>
        <v>0</v>
      </c>
      <c r="DV34" s="154">
        <f t="shared" si="104"/>
        <v>29685284.999999996</v>
      </c>
      <c r="DW34" s="154">
        <f t="shared" si="105"/>
        <v>0</v>
      </c>
      <c r="DX34" s="154">
        <f t="shared" si="106"/>
        <v>0</v>
      </c>
      <c r="DY34" s="154">
        <f t="shared" si="107"/>
        <v>0</v>
      </c>
      <c r="DZ34" s="154">
        <f t="shared" si="108"/>
        <v>0</v>
      </c>
      <c r="EA34" s="154">
        <f t="shared" si="40"/>
        <v>4240755</v>
      </c>
      <c r="EB34" s="154">
        <f t="shared" si="109"/>
        <v>0</v>
      </c>
      <c r="EC34" s="326"/>
      <c r="ED34" s="201">
        <f t="shared" si="42"/>
        <v>0</v>
      </c>
      <c r="EE34" s="202">
        <f t="shared" si="128"/>
        <v>67852080</v>
      </c>
      <c r="EF34" s="202">
        <f t="shared" si="129"/>
        <v>0</v>
      </c>
      <c r="EG34" s="202">
        <f t="shared" si="130"/>
        <v>0</v>
      </c>
      <c r="EH34" s="202">
        <f t="shared" si="131"/>
        <v>0</v>
      </c>
      <c r="EI34" s="202">
        <f t="shared" si="132"/>
        <v>0</v>
      </c>
      <c r="EJ34" s="202">
        <f t="shared" si="133"/>
        <v>0</v>
      </c>
      <c r="EK34" s="202">
        <f t="shared" si="134"/>
        <v>16963020</v>
      </c>
      <c r="EL34" s="202">
        <f t="shared" si="135"/>
        <v>0</v>
      </c>
      <c r="EM34" s="203">
        <f t="shared" si="136"/>
        <v>0</v>
      </c>
      <c r="EN34" s="326" t="s">
        <v>327</v>
      </c>
      <c r="EO34" s="200">
        <f t="shared" si="43"/>
        <v>942390</v>
      </c>
      <c r="EP34" s="154">
        <f t="shared" si="110"/>
        <v>942390</v>
      </c>
      <c r="EQ34" s="154">
        <f t="shared" si="111"/>
        <v>0</v>
      </c>
      <c r="ER34" s="154">
        <f t="shared" si="112"/>
        <v>0</v>
      </c>
      <c r="ES34" s="154">
        <f t="shared" si="113"/>
        <v>0</v>
      </c>
      <c r="ET34" s="154">
        <f t="shared" si="114"/>
        <v>3298365</v>
      </c>
      <c r="EU34" s="154">
        <f t="shared" si="115"/>
        <v>0</v>
      </c>
      <c r="EV34" s="154">
        <f t="shared" si="116"/>
        <v>0</v>
      </c>
      <c r="EW34" s="154">
        <f t="shared" si="117"/>
        <v>0</v>
      </c>
      <c r="EX34" s="154">
        <f t="shared" si="118"/>
        <v>0</v>
      </c>
      <c r="EY34" s="154">
        <f t="shared" si="53"/>
        <v>471195</v>
      </c>
      <c r="EZ34" s="154">
        <f t="shared" si="119"/>
        <v>0</v>
      </c>
      <c r="FA34" s="326"/>
      <c r="FB34" s="201">
        <f t="shared" si="55"/>
        <v>0</v>
      </c>
      <c r="FC34" s="202">
        <f t="shared" si="137"/>
        <v>7539120</v>
      </c>
      <c r="FD34" s="202">
        <f t="shared" si="138"/>
        <v>0</v>
      </c>
      <c r="FE34" s="202">
        <f t="shared" si="139"/>
        <v>0</v>
      </c>
      <c r="FF34" s="202">
        <f t="shared" si="140"/>
        <v>0</v>
      </c>
      <c r="FG34" s="202">
        <f t="shared" si="141"/>
        <v>0</v>
      </c>
      <c r="FH34" s="202">
        <f t="shared" si="142"/>
        <v>0</v>
      </c>
      <c r="FI34" s="202">
        <f t="shared" si="143"/>
        <v>1884780</v>
      </c>
      <c r="FJ34" s="202">
        <f t="shared" si="144"/>
        <v>0</v>
      </c>
      <c r="FK34" s="203">
        <f t="shared" si="145"/>
        <v>0</v>
      </c>
    </row>
    <row r="35" spans="1:167" s="6" customFormat="1">
      <c r="A35" s="204" t="s">
        <v>162</v>
      </c>
      <c r="B35" s="204" t="s">
        <v>160</v>
      </c>
      <c r="C35" s="205" t="s">
        <v>778</v>
      </c>
      <c r="D35" s="206">
        <f t="shared" si="56"/>
        <v>30</v>
      </c>
      <c r="E35" s="327"/>
      <c r="F35" s="219">
        <v>11282000</v>
      </c>
      <c r="G35" s="219">
        <v>19500000</v>
      </c>
      <c r="H35" s="219">
        <v>28555000</v>
      </c>
      <c r="I35" s="219">
        <v>41163000</v>
      </c>
      <c r="J35" s="219">
        <v>54009000</v>
      </c>
      <c r="K35" s="219">
        <v>66344000</v>
      </c>
      <c r="L35" s="479" t="s">
        <v>895</v>
      </c>
      <c r="M35" s="480" t="s">
        <v>792</v>
      </c>
      <c r="N35" s="327" t="s">
        <v>327</v>
      </c>
      <c r="O35" s="209"/>
      <c r="P35" s="209"/>
      <c r="Q35" s="209"/>
      <c r="R35" s="209"/>
      <c r="S35" s="207"/>
      <c r="T35" s="207"/>
      <c r="U35" s="211"/>
      <c r="V35" s="211"/>
      <c r="W35" s="326" t="s">
        <v>327</v>
      </c>
      <c r="X35" s="207"/>
      <c r="Y35" s="207"/>
      <c r="Z35" s="207"/>
      <c r="AA35" s="207"/>
      <c r="AB35" s="207"/>
      <c r="AC35" s="207"/>
      <c r="AD35" s="207"/>
      <c r="AE35" s="207"/>
      <c r="AF35" s="211"/>
      <c r="AG35" s="326"/>
      <c r="AH35" s="207">
        <f t="shared" ref="AH35:AH39" si="216">F35</f>
        <v>11282000</v>
      </c>
      <c r="AI35" s="207">
        <f t="shared" ref="AI35:AI39" si="217">G35</f>
        <v>19500000</v>
      </c>
      <c r="AJ35" s="207">
        <f t="shared" ref="AJ35:AJ39" si="218">H35</f>
        <v>28555000</v>
      </c>
      <c r="AK35" s="207">
        <f t="shared" ref="AK35:AK43" si="219">I35</f>
        <v>41163000</v>
      </c>
      <c r="AL35" s="207">
        <f t="shared" ref="AL35:AL39" si="220">J35</f>
        <v>54009000</v>
      </c>
      <c r="AM35" s="207">
        <f t="shared" ref="AM35:AM39" si="221">K35</f>
        <v>66344000</v>
      </c>
      <c r="AN35" s="207">
        <f t="shared" ref="AN35:AN39" si="222">AK35</f>
        <v>41163000</v>
      </c>
      <c r="AO35" s="207" t="str">
        <f t="shared" ref="AO35:AP40" si="223">L35</f>
        <v>CEA 2010</v>
      </c>
      <c r="AP35" s="211" t="str">
        <f t="shared" ref="AP35:AP39" si="224">M35</f>
        <v>"Includes: Electric handheld device integrating the features/functions of a mobile phone, personal digital assistant (PD) or other information appliance"</v>
      </c>
      <c r="AQ35" s="326" t="s">
        <v>327</v>
      </c>
      <c r="AR35" s="216" t="s">
        <v>776</v>
      </c>
      <c r="AS35" s="512">
        <v>0.15</v>
      </c>
      <c r="AT35" s="479" t="s">
        <v>244</v>
      </c>
      <c r="AU35" s="211"/>
      <c r="AV35" s="326"/>
      <c r="AW35" s="213">
        <v>0.5</v>
      </c>
      <c r="AX35" s="214">
        <v>1</v>
      </c>
      <c r="AY35" s="479" t="s">
        <v>220</v>
      </c>
      <c r="AZ35" s="211"/>
      <c r="BA35" s="211">
        <v>5</v>
      </c>
      <c r="BB35" s="211">
        <v>5</v>
      </c>
      <c r="BC35" s="211" t="s">
        <v>294</v>
      </c>
      <c r="BD35" s="211"/>
      <c r="BE35" s="211"/>
      <c r="BF35" s="215"/>
      <c r="BG35" s="326"/>
      <c r="BH35" s="213">
        <v>1</v>
      </c>
      <c r="BI35" s="214">
        <v>1</v>
      </c>
      <c r="BJ35" s="211" t="s">
        <v>274</v>
      </c>
      <c r="BK35" s="211"/>
      <c r="BL35" s="211">
        <v>3.7</v>
      </c>
      <c r="BM35" s="211">
        <v>4.4400000000000004</v>
      </c>
      <c r="BN35" s="211"/>
      <c r="BO35" s="211"/>
      <c r="BP35" s="211"/>
      <c r="BQ35" s="211"/>
      <c r="BR35" s="326"/>
      <c r="BS35" s="216">
        <v>0.2</v>
      </c>
      <c r="BT35" s="216">
        <v>0.2</v>
      </c>
      <c r="BU35" s="216">
        <v>0</v>
      </c>
      <c r="BV35" s="216">
        <v>0</v>
      </c>
      <c r="BW35" s="216">
        <v>0</v>
      </c>
      <c r="BX35" s="216">
        <v>0.5</v>
      </c>
      <c r="BY35" s="216">
        <v>0</v>
      </c>
      <c r="BZ35" s="216">
        <v>0</v>
      </c>
      <c r="CA35" s="216">
        <v>0</v>
      </c>
      <c r="CB35" s="216">
        <v>0</v>
      </c>
      <c r="CC35" s="216">
        <v>0.3</v>
      </c>
      <c r="CD35" s="217">
        <v>0</v>
      </c>
      <c r="CE35" s="211" t="s">
        <v>1238</v>
      </c>
      <c r="CF35" s="326" t="s">
        <v>327</v>
      </c>
      <c r="CG35" s="377">
        <v>0</v>
      </c>
      <c r="CH35" s="378">
        <v>1</v>
      </c>
      <c r="CI35" s="378">
        <v>0</v>
      </c>
      <c r="CJ35" s="378">
        <v>0</v>
      </c>
      <c r="CK35" s="378">
        <v>0</v>
      </c>
      <c r="CL35" s="378">
        <v>0</v>
      </c>
      <c r="CM35" s="378">
        <v>0</v>
      </c>
      <c r="CN35" s="378">
        <v>0</v>
      </c>
      <c r="CO35" s="378">
        <v>0</v>
      </c>
      <c r="CP35" s="385">
        <v>0</v>
      </c>
      <c r="CQ35" s="211" t="s">
        <v>249</v>
      </c>
      <c r="CR35" s="326"/>
      <c r="CS35" s="218">
        <f t="shared" si="1"/>
        <v>4116300</v>
      </c>
      <c r="CT35" s="219">
        <f t="shared" si="2"/>
        <v>4116300</v>
      </c>
      <c r="CU35" s="219">
        <f t="shared" si="3"/>
        <v>0</v>
      </c>
      <c r="CV35" s="219">
        <f t="shared" si="4"/>
        <v>0</v>
      </c>
      <c r="CW35" s="219">
        <f t="shared" si="5"/>
        <v>0</v>
      </c>
      <c r="CX35" s="219">
        <f t="shared" si="6"/>
        <v>10290750</v>
      </c>
      <c r="CY35" s="219">
        <f t="shared" si="7"/>
        <v>0</v>
      </c>
      <c r="CZ35" s="219">
        <f t="shared" si="8"/>
        <v>0</v>
      </c>
      <c r="DA35" s="219">
        <f t="shared" si="9"/>
        <v>0</v>
      </c>
      <c r="DB35" s="219">
        <f t="shared" si="10"/>
        <v>0</v>
      </c>
      <c r="DC35" s="219">
        <f t="shared" si="11"/>
        <v>6174450</v>
      </c>
      <c r="DD35" s="219">
        <f t="shared" si="12"/>
        <v>0</v>
      </c>
      <c r="DE35" s="326"/>
      <c r="DF35" s="220">
        <f t="shared" si="13"/>
        <v>0</v>
      </c>
      <c r="DG35" s="221">
        <f t="shared" si="14"/>
        <v>41163000</v>
      </c>
      <c r="DH35" s="221">
        <f t="shared" si="15"/>
        <v>0</v>
      </c>
      <c r="DI35" s="221">
        <f t="shared" si="16"/>
        <v>0</v>
      </c>
      <c r="DJ35" s="221">
        <f t="shared" si="17"/>
        <v>0</v>
      </c>
      <c r="DK35" s="221">
        <f t="shared" si="18"/>
        <v>0</v>
      </c>
      <c r="DL35" s="221">
        <f t="shared" si="19"/>
        <v>0</v>
      </c>
      <c r="DM35" s="221">
        <f t="shared" si="20"/>
        <v>0</v>
      </c>
      <c r="DN35" s="221">
        <f t="shared" si="21"/>
        <v>0</v>
      </c>
      <c r="DO35" s="222">
        <f t="shared" si="22"/>
        <v>0</v>
      </c>
      <c r="DP35" s="326"/>
      <c r="DQ35" s="218">
        <f t="shared" si="30"/>
        <v>3498855</v>
      </c>
      <c r="DR35" s="219">
        <f t="shared" si="100"/>
        <v>3498855</v>
      </c>
      <c r="DS35" s="219">
        <f t="shared" si="101"/>
        <v>0</v>
      </c>
      <c r="DT35" s="219">
        <f t="shared" si="102"/>
        <v>0</v>
      </c>
      <c r="DU35" s="219">
        <f t="shared" si="103"/>
        <v>0</v>
      </c>
      <c r="DV35" s="219">
        <f t="shared" si="104"/>
        <v>8747137.5</v>
      </c>
      <c r="DW35" s="219">
        <f t="shared" si="105"/>
        <v>0</v>
      </c>
      <c r="DX35" s="219">
        <f t="shared" si="106"/>
        <v>0</v>
      </c>
      <c r="DY35" s="219">
        <f t="shared" si="107"/>
        <v>0</v>
      </c>
      <c r="DZ35" s="219">
        <f t="shared" si="108"/>
        <v>0</v>
      </c>
      <c r="EA35" s="219">
        <f t="shared" si="40"/>
        <v>5248282.5</v>
      </c>
      <c r="EB35" s="219">
        <f t="shared" si="109"/>
        <v>0</v>
      </c>
      <c r="EC35" s="326"/>
      <c r="ED35" s="220">
        <f t="shared" si="42"/>
        <v>0</v>
      </c>
      <c r="EE35" s="221">
        <f t="shared" si="128"/>
        <v>34988550</v>
      </c>
      <c r="EF35" s="221">
        <f t="shared" si="129"/>
        <v>0</v>
      </c>
      <c r="EG35" s="221">
        <f t="shared" si="130"/>
        <v>0</v>
      </c>
      <c r="EH35" s="221">
        <f t="shared" si="131"/>
        <v>0</v>
      </c>
      <c r="EI35" s="221">
        <f t="shared" si="132"/>
        <v>0</v>
      </c>
      <c r="EJ35" s="221">
        <f t="shared" si="133"/>
        <v>0</v>
      </c>
      <c r="EK35" s="221">
        <f t="shared" si="134"/>
        <v>0</v>
      </c>
      <c r="EL35" s="221">
        <f t="shared" si="135"/>
        <v>0</v>
      </c>
      <c r="EM35" s="222">
        <f t="shared" si="136"/>
        <v>0</v>
      </c>
      <c r="EN35" s="326"/>
      <c r="EO35" s="218">
        <f t="shared" si="43"/>
        <v>617445</v>
      </c>
      <c r="EP35" s="219">
        <f t="shared" si="110"/>
        <v>617445</v>
      </c>
      <c r="EQ35" s="219">
        <f t="shared" si="111"/>
        <v>0</v>
      </c>
      <c r="ER35" s="219">
        <f t="shared" si="112"/>
        <v>0</v>
      </c>
      <c r="ES35" s="219">
        <f t="shared" si="113"/>
        <v>0</v>
      </c>
      <c r="ET35" s="219">
        <f t="shared" si="114"/>
        <v>1543612.5</v>
      </c>
      <c r="EU35" s="219">
        <f t="shared" si="115"/>
        <v>0</v>
      </c>
      <c r="EV35" s="219">
        <f t="shared" si="116"/>
        <v>0</v>
      </c>
      <c r="EW35" s="219">
        <f t="shared" si="117"/>
        <v>0</v>
      </c>
      <c r="EX35" s="219">
        <f t="shared" si="118"/>
        <v>0</v>
      </c>
      <c r="EY35" s="219">
        <f t="shared" si="53"/>
        <v>926167.5</v>
      </c>
      <c r="EZ35" s="219">
        <f t="shared" si="119"/>
        <v>0</v>
      </c>
      <c r="FA35" s="326"/>
      <c r="FB35" s="220">
        <f t="shared" si="55"/>
        <v>0</v>
      </c>
      <c r="FC35" s="221">
        <f t="shared" si="137"/>
        <v>6174450</v>
      </c>
      <c r="FD35" s="221">
        <f t="shared" si="138"/>
        <v>0</v>
      </c>
      <c r="FE35" s="221">
        <f t="shared" si="139"/>
        <v>0</v>
      </c>
      <c r="FF35" s="221">
        <f t="shared" si="140"/>
        <v>0</v>
      </c>
      <c r="FG35" s="221">
        <f t="shared" si="141"/>
        <v>0</v>
      </c>
      <c r="FH35" s="221">
        <f t="shared" si="142"/>
        <v>0</v>
      </c>
      <c r="FI35" s="221">
        <f t="shared" si="143"/>
        <v>0</v>
      </c>
      <c r="FJ35" s="221">
        <f t="shared" si="144"/>
        <v>0</v>
      </c>
      <c r="FK35" s="222">
        <f t="shared" si="145"/>
        <v>0</v>
      </c>
    </row>
    <row r="36" spans="1:167" s="6" customFormat="1">
      <c r="A36" s="186" t="s">
        <v>162</v>
      </c>
      <c r="B36" s="186" t="s">
        <v>161</v>
      </c>
      <c r="C36" s="187" t="s">
        <v>120</v>
      </c>
      <c r="D36" s="188">
        <f t="shared" si="56"/>
        <v>31</v>
      </c>
      <c r="E36" s="327" t="s">
        <v>327</v>
      </c>
      <c r="F36" s="154">
        <v>862000</v>
      </c>
      <c r="G36" s="154">
        <v>611000</v>
      </c>
      <c r="H36" s="154">
        <v>460000</v>
      </c>
      <c r="I36" s="154">
        <v>345000</v>
      </c>
      <c r="J36" s="154">
        <v>254000</v>
      </c>
      <c r="K36" s="154">
        <v>197000</v>
      </c>
      <c r="L36" s="156" t="s">
        <v>895</v>
      </c>
      <c r="M36" s="478" t="s">
        <v>327</v>
      </c>
      <c r="N36" s="327" t="s">
        <v>327</v>
      </c>
      <c r="O36" s="191"/>
      <c r="P36" s="191"/>
      <c r="Q36" s="191"/>
      <c r="R36" s="191"/>
      <c r="S36" s="189"/>
      <c r="T36" s="189"/>
      <c r="U36" s="193"/>
      <c r="V36" s="193"/>
      <c r="W36" s="326" t="s">
        <v>327</v>
      </c>
      <c r="X36" s="189">
        <v>0</v>
      </c>
      <c r="Y36" s="189">
        <v>1400000</v>
      </c>
      <c r="Z36" s="189">
        <v>862000</v>
      </c>
      <c r="AA36" s="189">
        <v>611000</v>
      </c>
      <c r="AB36" s="189">
        <v>460000</v>
      </c>
      <c r="AC36" s="189">
        <v>345000</v>
      </c>
      <c r="AD36" s="189">
        <v>460000</v>
      </c>
      <c r="AE36" s="189" t="s">
        <v>643</v>
      </c>
      <c r="AF36" s="255" t="s">
        <v>327</v>
      </c>
      <c r="AG36" s="326" t="s">
        <v>327</v>
      </c>
      <c r="AH36" s="189">
        <f t="shared" si="216"/>
        <v>862000</v>
      </c>
      <c r="AI36" s="189">
        <f t="shared" si="217"/>
        <v>611000</v>
      </c>
      <c r="AJ36" s="189">
        <f t="shared" si="218"/>
        <v>460000</v>
      </c>
      <c r="AK36" s="189">
        <f t="shared" si="219"/>
        <v>345000</v>
      </c>
      <c r="AL36" s="189">
        <f t="shared" si="220"/>
        <v>254000</v>
      </c>
      <c r="AM36" s="189">
        <f t="shared" si="221"/>
        <v>197000</v>
      </c>
      <c r="AN36" s="189">
        <f t="shared" si="222"/>
        <v>345000</v>
      </c>
      <c r="AO36" s="189" t="str">
        <f t="shared" si="223"/>
        <v>CEA 2010</v>
      </c>
      <c r="AP36" s="255" t="str">
        <f t="shared" si="224"/>
        <v xml:space="preserve"> </v>
      </c>
      <c r="AQ36" s="326" t="s">
        <v>327</v>
      </c>
      <c r="AR36" s="194" t="s">
        <v>775</v>
      </c>
      <c r="AS36" s="511">
        <v>0</v>
      </c>
      <c r="AT36" s="193"/>
      <c r="AU36" s="193"/>
      <c r="AV36" s="326" t="s">
        <v>327</v>
      </c>
      <c r="AW36" s="195">
        <v>1</v>
      </c>
      <c r="AX36" s="196">
        <v>1</v>
      </c>
      <c r="AY36" s="192" t="s">
        <v>249</v>
      </c>
      <c r="AZ36" s="193"/>
      <c r="BA36" s="193">
        <v>6</v>
      </c>
      <c r="BB36" s="193">
        <v>2.4</v>
      </c>
      <c r="BC36" s="193" t="s">
        <v>305</v>
      </c>
      <c r="BD36" s="193"/>
      <c r="BE36" s="193"/>
      <c r="BF36" s="197"/>
      <c r="BG36" s="326" t="s">
        <v>327</v>
      </c>
      <c r="BH36" s="195">
        <v>0</v>
      </c>
      <c r="BI36" s="196">
        <v>0</v>
      </c>
      <c r="BJ36" s="193" t="s">
        <v>400</v>
      </c>
      <c r="BK36" s="193"/>
      <c r="BL36" s="193" t="s">
        <v>283</v>
      </c>
      <c r="BM36" s="193" t="s">
        <v>283</v>
      </c>
      <c r="BN36" s="193" t="s">
        <v>283</v>
      </c>
      <c r="BO36" s="193"/>
      <c r="BP36" s="193"/>
      <c r="BQ36" s="193"/>
      <c r="BR36" s="326" t="s">
        <v>327</v>
      </c>
      <c r="BS36" s="198">
        <v>1</v>
      </c>
      <c r="BT36" s="198">
        <v>1</v>
      </c>
      <c r="BU36" s="198">
        <v>0</v>
      </c>
      <c r="BV36" s="198">
        <v>0</v>
      </c>
      <c r="BW36" s="198">
        <v>0</v>
      </c>
      <c r="BX36" s="198">
        <v>0</v>
      </c>
      <c r="BY36" s="198">
        <v>0</v>
      </c>
      <c r="BZ36" s="198">
        <v>0</v>
      </c>
      <c r="CA36" s="198">
        <v>0</v>
      </c>
      <c r="CB36" s="198">
        <v>0</v>
      </c>
      <c r="CC36" s="198">
        <v>0</v>
      </c>
      <c r="CD36" s="199">
        <v>0</v>
      </c>
      <c r="CE36" s="193" t="s">
        <v>249</v>
      </c>
      <c r="CF36" s="326" t="s">
        <v>327</v>
      </c>
      <c r="CG36" s="379">
        <v>0</v>
      </c>
      <c r="CH36" s="380">
        <v>0</v>
      </c>
      <c r="CI36" s="380">
        <v>0</v>
      </c>
      <c r="CJ36" s="380">
        <v>0</v>
      </c>
      <c r="CK36" s="380">
        <v>0</v>
      </c>
      <c r="CL36" s="380">
        <v>0</v>
      </c>
      <c r="CM36" s="380">
        <v>0</v>
      </c>
      <c r="CN36" s="380">
        <v>0</v>
      </c>
      <c r="CO36" s="380">
        <v>0</v>
      </c>
      <c r="CP36" s="386">
        <v>0</v>
      </c>
      <c r="CQ36" s="193" t="s">
        <v>249</v>
      </c>
      <c r="CR36" s="326" t="s">
        <v>327</v>
      </c>
      <c r="CS36" s="200">
        <f t="shared" si="1"/>
        <v>345000</v>
      </c>
      <c r="CT36" s="154">
        <f t="shared" si="2"/>
        <v>345000</v>
      </c>
      <c r="CU36" s="154">
        <f t="shared" si="3"/>
        <v>0</v>
      </c>
      <c r="CV36" s="154">
        <f t="shared" si="4"/>
        <v>0</v>
      </c>
      <c r="CW36" s="154">
        <f t="shared" si="5"/>
        <v>0</v>
      </c>
      <c r="CX36" s="154">
        <f t="shared" si="6"/>
        <v>0</v>
      </c>
      <c r="CY36" s="154">
        <f t="shared" si="7"/>
        <v>0</v>
      </c>
      <c r="CZ36" s="154">
        <f t="shared" si="8"/>
        <v>0</v>
      </c>
      <c r="DA36" s="154">
        <f t="shared" si="9"/>
        <v>0</v>
      </c>
      <c r="DB36" s="154">
        <f t="shared" si="10"/>
        <v>0</v>
      </c>
      <c r="DC36" s="154">
        <f t="shared" si="11"/>
        <v>0</v>
      </c>
      <c r="DD36" s="154">
        <f t="shared" si="12"/>
        <v>0</v>
      </c>
      <c r="DE36" s="326"/>
      <c r="DF36" s="201">
        <f t="shared" si="13"/>
        <v>0</v>
      </c>
      <c r="DG36" s="202">
        <f t="shared" si="14"/>
        <v>0</v>
      </c>
      <c r="DH36" s="202">
        <f t="shared" si="15"/>
        <v>0</v>
      </c>
      <c r="DI36" s="202">
        <f t="shared" si="16"/>
        <v>0</v>
      </c>
      <c r="DJ36" s="202">
        <f t="shared" si="17"/>
        <v>0</v>
      </c>
      <c r="DK36" s="202">
        <f t="shared" si="18"/>
        <v>0</v>
      </c>
      <c r="DL36" s="202">
        <f t="shared" si="19"/>
        <v>0</v>
      </c>
      <c r="DM36" s="202">
        <f t="shared" si="20"/>
        <v>0</v>
      </c>
      <c r="DN36" s="202">
        <f t="shared" si="21"/>
        <v>0</v>
      </c>
      <c r="DO36" s="203">
        <f t="shared" si="22"/>
        <v>0</v>
      </c>
      <c r="DP36" s="326" t="s">
        <v>327</v>
      </c>
      <c r="DQ36" s="200">
        <f t="shared" si="30"/>
        <v>345000</v>
      </c>
      <c r="DR36" s="154">
        <f t="shared" si="100"/>
        <v>345000</v>
      </c>
      <c r="DS36" s="154">
        <f t="shared" si="101"/>
        <v>0</v>
      </c>
      <c r="DT36" s="154">
        <f t="shared" si="102"/>
        <v>0</v>
      </c>
      <c r="DU36" s="154">
        <f t="shared" si="103"/>
        <v>0</v>
      </c>
      <c r="DV36" s="154">
        <f t="shared" si="104"/>
        <v>0</v>
      </c>
      <c r="DW36" s="154">
        <f t="shared" si="105"/>
        <v>0</v>
      </c>
      <c r="DX36" s="154">
        <f t="shared" si="106"/>
        <v>0</v>
      </c>
      <c r="DY36" s="154">
        <f t="shared" si="107"/>
        <v>0</v>
      </c>
      <c r="DZ36" s="154">
        <f t="shared" si="108"/>
        <v>0</v>
      </c>
      <c r="EA36" s="154">
        <f t="shared" si="40"/>
        <v>0</v>
      </c>
      <c r="EB36" s="154">
        <f t="shared" si="109"/>
        <v>0</v>
      </c>
      <c r="EC36" s="326"/>
      <c r="ED36" s="201">
        <f t="shared" si="42"/>
        <v>0</v>
      </c>
      <c r="EE36" s="202">
        <f t="shared" si="128"/>
        <v>0</v>
      </c>
      <c r="EF36" s="202">
        <f t="shared" si="129"/>
        <v>0</v>
      </c>
      <c r="EG36" s="202">
        <f t="shared" si="130"/>
        <v>0</v>
      </c>
      <c r="EH36" s="202">
        <f t="shared" si="131"/>
        <v>0</v>
      </c>
      <c r="EI36" s="202">
        <f t="shared" si="132"/>
        <v>0</v>
      </c>
      <c r="EJ36" s="202">
        <f t="shared" si="133"/>
        <v>0</v>
      </c>
      <c r="EK36" s="202">
        <f t="shared" si="134"/>
        <v>0</v>
      </c>
      <c r="EL36" s="202">
        <f t="shared" si="135"/>
        <v>0</v>
      </c>
      <c r="EM36" s="203">
        <f t="shared" si="136"/>
        <v>0</v>
      </c>
      <c r="EN36" s="326" t="s">
        <v>327</v>
      </c>
      <c r="EO36" s="200">
        <f t="shared" si="43"/>
        <v>0</v>
      </c>
      <c r="EP36" s="154">
        <f t="shared" si="110"/>
        <v>0</v>
      </c>
      <c r="EQ36" s="154">
        <f t="shared" si="111"/>
        <v>0</v>
      </c>
      <c r="ER36" s="154">
        <f t="shared" si="112"/>
        <v>0</v>
      </c>
      <c r="ES36" s="154">
        <f t="shared" si="113"/>
        <v>0</v>
      </c>
      <c r="ET36" s="154">
        <f t="shared" si="114"/>
        <v>0</v>
      </c>
      <c r="EU36" s="154">
        <f t="shared" si="115"/>
        <v>0</v>
      </c>
      <c r="EV36" s="154">
        <f t="shared" si="116"/>
        <v>0</v>
      </c>
      <c r="EW36" s="154">
        <f t="shared" si="117"/>
        <v>0</v>
      </c>
      <c r="EX36" s="154">
        <f t="shared" si="118"/>
        <v>0</v>
      </c>
      <c r="EY36" s="154">
        <f t="shared" si="53"/>
        <v>0</v>
      </c>
      <c r="EZ36" s="154">
        <f t="shared" si="119"/>
        <v>0</v>
      </c>
      <c r="FA36" s="326"/>
      <c r="FB36" s="201">
        <f t="shared" si="55"/>
        <v>0</v>
      </c>
      <c r="FC36" s="202">
        <f t="shared" si="137"/>
        <v>0</v>
      </c>
      <c r="FD36" s="202">
        <f t="shared" si="138"/>
        <v>0</v>
      </c>
      <c r="FE36" s="202">
        <f t="shared" si="139"/>
        <v>0</v>
      </c>
      <c r="FF36" s="202">
        <f t="shared" si="140"/>
        <v>0</v>
      </c>
      <c r="FG36" s="202">
        <f t="shared" si="141"/>
        <v>0</v>
      </c>
      <c r="FH36" s="202">
        <f t="shared" si="142"/>
        <v>0</v>
      </c>
      <c r="FI36" s="202">
        <f t="shared" si="143"/>
        <v>0</v>
      </c>
      <c r="FJ36" s="202">
        <f t="shared" si="144"/>
        <v>0</v>
      </c>
      <c r="FK36" s="203">
        <f t="shared" si="145"/>
        <v>0</v>
      </c>
    </row>
    <row r="37" spans="1:167" s="6" customFormat="1">
      <c r="A37" s="204" t="s">
        <v>162</v>
      </c>
      <c r="B37" s="204" t="s">
        <v>161</v>
      </c>
      <c r="C37" s="205" t="s">
        <v>184</v>
      </c>
      <c r="D37" s="206">
        <f t="shared" si="56"/>
        <v>32</v>
      </c>
      <c r="E37" s="327" t="s">
        <v>327</v>
      </c>
      <c r="F37" s="219">
        <v>30571000</v>
      </c>
      <c r="G37" s="219">
        <v>17876000</v>
      </c>
      <c r="H37" s="219">
        <v>16602000</v>
      </c>
      <c r="I37" s="219">
        <v>13229000</v>
      </c>
      <c r="J37" s="219">
        <v>9820000</v>
      </c>
      <c r="K37" s="219">
        <v>8616000</v>
      </c>
      <c r="L37" s="479" t="s">
        <v>895</v>
      </c>
      <c r="M37" s="480" t="s">
        <v>327</v>
      </c>
      <c r="N37" s="327" t="s">
        <v>327</v>
      </c>
      <c r="O37" s="209"/>
      <c r="P37" s="209"/>
      <c r="Q37" s="209"/>
      <c r="R37" s="209"/>
      <c r="S37" s="207"/>
      <c r="T37" s="207"/>
      <c r="U37" s="211"/>
      <c r="V37" s="211"/>
      <c r="W37" s="326" t="s">
        <v>327</v>
      </c>
      <c r="X37" s="207">
        <v>0</v>
      </c>
      <c r="Y37" s="207">
        <v>0</v>
      </c>
      <c r="Z37" s="207">
        <v>0</v>
      </c>
      <c r="AA37" s="207">
        <v>0</v>
      </c>
      <c r="AB37" s="207">
        <v>19150657.479292355</v>
      </c>
      <c r="AC37" s="207">
        <v>0</v>
      </c>
      <c r="AD37" s="207">
        <v>19150657.479292355</v>
      </c>
      <c r="AE37" s="207" t="s">
        <v>749</v>
      </c>
      <c r="AF37" s="211" t="s">
        <v>171</v>
      </c>
      <c r="AG37" s="326" t="s">
        <v>327</v>
      </c>
      <c r="AH37" s="207">
        <f t="shared" si="216"/>
        <v>30571000</v>
      </c>
      <c r="AI37" s="207">
        <f t="shared" si="217"/>
        <v>17876000</v>
      </c>
      <c r="AJ37" s="207">
        <f t="shared" si="218"/>
        <v>16602000</v>
      </c>
      <c r="AK37" s="207">
        <f t="shared" si="219"/>
        <v>13229000</v>
      </c>
      <c r="AL37" s="207">
        <f t="shared" si="220"/>
        <v>9820000</v>
      </c>
      <c r="AM37" s="207">
        <f t="shared" si="221"/>
        <v>8616000</v>
      </c>
      <c r="AN37" s="207">
        <f t="shared" si="222"/>
        <v>13229000</v>
      </c>
      <c r="AO37" s="207" t="str">
        <f t="shared" si="223"/>
        <v>CEA 2010</v>
      </c>
      <c r="AP37" s="211" t="str">
        <f t="shared" si="224"/>
        <v xml:space="preserve"> </v>
      </c>
      <c r="AQ37" s="326" t="s">
        <v>327</v>
      </c>
      <c r="AR37" s="212" t="s">
        <v>776</v>
      </c>
      <c r="AS37" s="512">
        <v>0.17</v>
      </c>
      <c r="AT37" s="211" t="s">
        <v>244</v>
      </c>
      <c r="AU37" s="211" t="s">
        <v>884</v>
      </c>
      <c r="AV37" s="326" t="s">
        <v>327</v>
      </c>
      <c r="AW37" s="213">
        <v>1</v>
      </c>
      <c r="AX37" s="214">
        <v>1</v>
      </c>
      <c r="AY37" s="211" t="s">
        <v>412</v>
      </c>
      <c r="AZ37" s="211" t="s">
        <v>248</v>
      </c>
      <c r="BA37" s="211">
        <v>6</v>
      </c>
      <c r="BB37" s="211">
        <v>2.4</v>
      </c>
      <c r="BC37" s="211" t="s">
        <v>294</v>
      </c>
      <c r="BD37" s="211"/>
      <c r="BE37" s="211"/>
      <c r="BF37" s="215"/>
      <c r="BG37" s="326" t="s">
        <v>327</v>
      </c>
      <c r="BH37" s="213">
        <v>1</v>
      </c>
      <c r="BI37" s="214">
        <v>1</v>
      </c>
      <c r="BJ37" s="211" t="s">
        <v>401</v>
      </c>
      <c r="BK37" s="211" t="s">
        <v>247</v>
      </c>
      <c r="BL37" s="211">
        <v>2.4</v>
      </c>
      <c r="BM37" s="211">
        <v>1.32</v>
      </c>
      <c r="BN37" s="211" t="s">
        <v>272</v>
      </c>
      <c r="BO37" s="211"/>
      <c r="BP37" s="211"/>
      <c r="BQ37" s="211"/>
      <c r="BR37" s="326" t="s">
        <v>327</v>
      </c>
      <c r="BS37" s="216">
        <v>1</v>
      </c>
      <c r="BT37" s="216">
        <v>1</v>
      </c>
      <c r="BU37" s="216">
        <v>0</v>
      </c>
      <c r="BV37" s="216">
        <v>0</v>
      </c>
      <c r="BW37" s="216">
        <v>0</v>
      </c>
      <c r="BX37" s="216">
        <v>0</v>
      </c>
      <c r="BY37" s="216">
        <v>0</v>
      </c>
      <c r="BZ37" s="216">
        <v>0</v>
      </c>
      <c r="CA37" s="216">
        <v>0</v>
      </c>
      <c r="CB37" s="216">
        <v>0</v>
      </c>
      <c r="CC37" s="216">
        <v>0</v>
      </c>
      <c r="CD37" s="217">
        <v>0</v>
      </c>
      <c r="CE37" s="211" t="s">
        <v>274</v>
      </c>
      <c r="CF37" s="326" t="s">
        <v>327</v>
      </c>
      <c r="CG37" s="377">
        <v>0</v>
      </c>
      <c r="CH37" s="378">
        <v>1</v>
      </c>
      <c r="CI37" s="378">
        <v>0</v>
      </c>
      <c r="CJ37" s="378">
        <v>0</v>
      </c>
      <c r="CK37" s="378">
        <v>0</v>
      </c>
      <c r="CL37" s="378">
        <v>0</v>
      </c>
      <c r="CM37" s="378">
        <v>0</v>
      </c>
      <c r="CN37" s="378">
        <v>0</v>
      </c>
      <c r="CO37" s="378">
        <v>0</v>
      </c>
      <c r="CP37" s="385">
        <v>0</v>
      </c>
      <c r="CQ37" s="211" t="s">
        <v>274</v>
      </c>
      <c r="CR37" s="326" t="s">
        <v>327</v>
      </c>
      <c r="CS37" s="218">
        <f t="shared" si="1"/>
        <v>13229000</v>
      </c>
      <c r="CT37" s="219">
        <f t="shared" si="2"/>
        <v>13229000</v>
      </c>
      <c r="CU37" s="219">
        <f t="shared" si="3"/>
        <v>0</v>
      </c>
      <c r="CV37" s="219">
        <f t="shared" si="4"/>
        <v>0</v>
      </c>
      <c r="CW37" s="219">
        <f t="shared" si="5"/>
        <v>0</v>
      </c>
      <c r="CX37" s="219">
        <f t="shared" si="6"/>
        <v>0</v>
      </c>
      <c r="CY37" s="219">
        <f t="shared" si="7"/>
        <v>0</v>
      </c>
      <c r="CZ37" s="219">
        <f t="shared" si="8"/>
        <v>0</v>
      </c>
      <c r="DA37" s="219">
        <f t="shared" si="9"/>
        <v>0</v>
      </c>
      <c r="DB37" s="219">
        <f t="shared" si="10"/>
        <v>0</v>
      </c>
      <c r="DC37" s="219">
        <f t="shared" si="11"/>
        <v>0</v>
      </c>
      <c r="DD37" s="219">
        <f t="shared" si="12"/>
        <v>0</v>
      </c>
      <c r="DE37" s="326"/>
      <c r="DF37" s="220">
        <f t="shared" si="13"/>
        <v>0</v>
      </c>
      <c r="DG37" s="221">
        <f t="shared" si="14"/>
        <v>13229000</v>
      </c>
      <c r="DH37" s="221">
        <f t="shared" si="15"/>
        <v>0</v>
      </c>
      <c r="DI37" s="221">
        <f t="shared" si="16"/>
        <v>0</v>
      </c>
      <c r="DJ37" s="221">
        <f t="shared" si="17"/>
        <v>0</v>
      </c>
      <c r="DK37" s="221">
        <f t="shared" si="18"/>
        <v>0</v>
      </c>
      <c r="DL37" s="221">
        <f t="shared" si="19"/>
        <v>0</v>
      </c>
      <c r="DM37" s="221">
        <f t="shared" si="20"/>
        <v>0</v>
      </c>
      <c r="DN37" s="221">
        <f t="shared" si="21"/>
        <v>0</v>
      </c>
      <c r="DO37" s="222">
        <f t="shared" si="22"/>
        <v>0</v>
      </c>
      <c r="DP37" s="326" t="s">
        <v>327</v>
      </c>
      <c r="DQ37" s="218">
        <f t="shared" si="30"/>
        <v>10980070</v>
      </c>
      <c r="DR37" s="219">
        <f t="shared" si="100"/>
        <v>10980070</v>
      </c>
      <c r="DS37" s="219">
        <f t="shared" si="101"/>
        <v>0</v>
      </c>
      <c r="DT37" s="219">
        <f t="shared" si="102"/>
        <v>0</v>
      </c>
      <c r="DU37" s="219">
        <f t="shared" si="103"/>
        <v>0</v>
      </c>
      <c r="DV37" s="219">
        <f t="shared" si="104"/>
        <v>0</v>
      </c>
      <c r="DW37" s="219">
        <f t="shared" si="105"/>
        <v>0</v>
      </c>
      <c r="DX37" s="219">
        <f t="shared" si="106"/>
        <v>0</v>
      </c>
      <c r="DY37" s="219">
        <f t="shared" si="107"/>
        <v>0</v>
      </c>
      <c r="DZ37" s="219">
        <f t="shared" si="108"/>
        <v>0</v>
      </c>
      <c r="EA37" s="219">
        <f t="shared" si="40"/>
        <v>0</v>
      </c>
      <c r="EB37" s="219">
        <f t="shared" si="109"/>
        <v>0</v>
      </c>
      <c r="EC37" s="326"/>
      <c r="ED37" s="220">
        <f t="shared" si="42"/>
        <v>0</v>
      </c>
      <c r="EE37" s="221">
        <f t="shared" si="128"/>
        <v>10980070</v>
      </c>
      <c r="EF37" s="221">
        <f t="shared" si="129"/>
        <v>0</v>
      </c>
      <c r="EG37" s="221">
        <f t="shared" si="130"/>
        <v>0</v>
      </c>
      <c r="EH37" s="221">
        <f t="shared" si="131"/>
        <v>0</v>
      </c>
      <c r="EI37" s="221">
        <f t="shared" si="132"/>
        <v>0</v>
      </c>
      <c r="EJ37" s="221">
        <f t="shared" si="133"/>
        <v>0</v>
      </c>
      <c r="EK37" s="221">
        <f t="shared" si="134"/>
        <v>0</v>
      </c>
      <c r="EL37" s="221">
        <f t="shared" si="135"/>
        <v>0</v>
      </c>
      <c r="EM37" s="222">
        <f t="shared" si="136"/>
        <v>0</v>
      </c>
      <c r="EN37" s="326" t="s">
        <v>327</v>
      </c>
      <c r="EO37" s="218">
        <f t="shared" si="43"/>
        <v>2248930</v>
      </c>
      <c r="EP37" s="219">
        <f t="shared" si="110"/>
        <v>2248930</v>
      </c>
      <c r="EQ37" s="219">
        <f t="shared" si="111"/>
        <v>0</v>
      </c>
      <c r="ER37" s="219">
        <f t="shared" si="112"/>
        <v>0</v>
      </c>
      <c r="ES37" s="219">
        <f t="shared" si="113"/>
        <v>0</v>
      </c>
      <c r="ET37" s="219">
        <f t="shared" si="114"/>
        <v>0</v>
      </c>
      <c r="EU37" s="219">
        <f t="shared" si="115"/>
        <v>0</v>
      </c>
      <c r="EV37" s="219">
        <f t="shared" si="116"/>
        <v>0</v>
      </c>
      <c r="EW37" s="219">
        <f t="shared" si="117"/>
        <v>0</v>
      </c>
      <c r="EX37" s="219">
        <f t="shared" si="118"/>
        <v>0</v>
      </c>
      <c r="EY37" s="219">
        <f t="shared" si="53"/>
        <v>0</v>
      </c>
      <c r="EZ37" s="219">
        <f t="shared" si="119"/>
        <v>0</v>
      </c>
      <c r="FA37" s="326"/>
      <c r="FB37" s="220">
        <f t="shared" si="55"/>
        <v>0</v>
      </c>
      <c r="FC37" s="221">
        <f t="shared" si="137"/>
        <v>2248930</v>
      </c>
      <c r="FD37" s="221">
        <f t="shared" si="138"/>
        <v>0</v>
      </c>
      <c r="FE37" s="221">
        <f t="shared" si="139"/>
        <v>0</v>
      </c>
      <c r="FF37" s="221">
        <f t="shared" si="140"/>
        <v>0</v>
      </c>
      <c r="FG37" s="221">
        <f t="shared" si="141"/>
        <v>0</v>
      </c>
      <c r="FH37" s="221">
        <f t="shared" si="142"/>
        <v>0</v>
      </c>
      <c r="FI37" s="221">
        <f t="shared" si="143"/>
        <v>0</v>
      </c>
      <c r="FJ37" s="221">
        <f t="shared" si="144"/>
        <v>0</v>
      </c>
      <c r="FK37" s="222">
        <f t="shared" si="145"/>
        <v>0</v>
      </c>
    </row>
    <row r="38" spans="1:167" s="6" customFormat="1">
      <c r="A38" s="186" t="s">
        <v>162</v>
      </c>
      <c r="B38" s="186" t="s">
        <v>161</v>
      </c>
      <c r="C38" s="187" t="s">
        <v>215</v>
      </c>
      <c r="D38" s="188">
        <f t="shared" si="56"/>
        <v>33</v>
      </c>
      <c r="E38" s="327" t="s">
        <v>327</v>
      </c>
      <c r="F38" s="154">
        <v>26202000</v>
      </c>
      <c r="G38" s="154">
        <v>24029000</v>
      </c>
      <c r="H38" s="154">
        <v>20175000</v>
      </c>
      <c r="I38" s="154">
        <v>16919000</v>
      </c>
      <c r="J38" s="154">
        <v>15383000</v>
      </c>
      <c r="K38" s="154">
        <v>14813000</v>
      </c>
      <c r="L38" s="481" t="s">
        <v>895</v>
      </c>
      <c r="M38" s="478" t="s">
        <v>327</v>
      </c>
      <c r="N38" s="327" t="s">
        <v>327</v>
      </c>
      <c r="O38" s="191"/>
      <c r="P38" s="191"/>
      <c r="Q38" s="191"/>
      <c r="R38" s="191"/>
      <c r="S38" s="189"/>
      <c r="T38" s="189"/>
      <c r="U38" s="193"/>
      <c r="V38" s="193"/>
      <c r="W38" s="326" t="s">
        <v>327</v>
      </c>
      <c r="X38" s="189">
        <v>24083000</v>
      </c>
      <c r="Y38" s="189">
        <v>27973000</v>
      </c>
      <c r="Z38" s="189">
        <v>26202000</v>
      </c>
      <c r="AA38" s="189">
        <v>24029000</v>
      </c>
      <c r="AB38" s="189">
        <v>20175000</v>
      </c>
      <c r="AC38" s="189">
        <v>15536000</v>
      </c>
      <c r="AD38" s="189">
        <v>20175000</v>
      </c>
      <c r="AE38" s="189" t="s">
        <v>643</v>
      </c>
      <c r="AF38" s="193" t="s">
        <v>327</v>
      </c>
      <c r="AG38" s="326" t="s">
        <v>327</v>
      </c>
      <c r="AH38" s="189">
        <f t="shared" si="216"/>
        <v>26202000</v>
      </c>
      <c r="AI38" s="189">
        <f t="shared" si="217"/>
        <v>24029000</v>
      </c>
      <c r="AJ38" s="189">
        <f t="shared" si="218"/>
        <v>20175000</v>
      </c>
      <c r="AK38" s="189">
        <f t="shared" si="219"/>
        <v>16919000</v>
      </c>
      <c r="AL38" s="189">
        <f t="shared" si="220"/>
        <v>15383000</v>
      </c>
      <c r="AM38" s="189">
        <f t="shared" si="221"/>
        <v>14813000</v>
      </c>
      <c r="AN38" s="189">
        <f t="shared" si="222"/>
        <v>16919000</v>
      </c>
      <c r="AO38" s="189" t="str">
        <f t="shared" si="223"/>
        <v>CEA 2010</v>
      </c>
      <c r="AP38" s="193" t="str">
        <f t="shared" si="224"/>
        <v xml:space="preserve"> </v>
      </c>
      <c r="AQ38" s="326" t="s">
        <v>327</v>
      </c>
      <c r="AR38" s="194" t="s">
        <v>776</v>
      </c>
      <c r="AS38" s="511">
        <v>0.17</v>
      </c>
      <c r="AT38" s="193" t="s">
        <v>244</v>
      </c>
      <c r="AU38" s="193" t="s">
        <v>884</v>
      </c>
      <c r="AV38" s="326" t="s">
        <v>327</v>
      </c>
      <c r="AW38" s="195">
        <v>1</v>
      </c>
      <c r="AX38" s="196">
        <v>1</v>
      </c>
      <c r="AY38" s="193" t="s">
        <v>249</v>
      </c>
      <c r="AZ38" s="193"/>
      <c r="BA38" s="193">
        <v>6</v>
      </c>
      <c r="BB38" s="193">
        <v>2.4</v>
      </c>
      <c r="BC38" s="193" t="s">
        <v>294</v>
      </c>
      <c r="BD38" s="193"/>
      <c r="BE38" s="193"/>
      <c r="BF38" s="197"/>
      <c r="BG38" s="326" t="s">
        <v>327</v>
      </c>
      <c r="BH38" s="195">
        <v>1</v>
      </c>
      <c r="BI38" s="196">
        <v>1</v>
      </c>
      <c r="BJ38" s="193" t="s">
        <v>838</v>
      </c>
      <c r="BK38" s="193" t="s">
        <v>327</v>
      </c>
      <c r="BL38" s="193">
        <v>2.4</v>
      </c>
      <c r="BM38" s="193">
        <v>1.32</v>
      </c>
      <c r="BN38" s="193" t="s">
        <v>272</v>
      </c>
      <c r="BO38" s="193"/>
      <c r="BP38" s="193"/>
      <c r="BQ38" s="193"/>
      <c r="BR38" s="326" t="s">
        <v>327</v>
      </c>
      <c r="BS38" s="198">
        <v>1</v>
      </c>
      <c r="BT38" s="198">
        <v>1</v>
      </c>
      <c r="BU38" s="198">
        <v>0</v>
      </c>
      <c r="BV38" s="198">
        <v>0</v>
      </c>
      <c r="BW38" s="198">
        <v>0</v>
      </c>
      <c r="BX38" s="198">
        <v>0</v>
      </c>
      <c r="BY38" s="198">
        <v>0</v>
      </c>
      <c r="BZ38" s="198">
        <v>0</v>
      </c>
      <c r="CA38" s="198">
        <v>0</v>
      </c>
      <c r="CB38" s="198">
        <v>0</v>
      </c>
      <c r="CC38" s="198">
        <v>0</v>
      </c>
      <c r="CD38" s="199">
        <v>0</v>
      </c>
      <c r="CE38" s="193" t="s">
        <v>439</v>
      </c>
      <c r="CF38" s="326" t="s">
        <v>327</v>
      </c>
      <c r="CG38" s="379">
        <v>0</v>
      </c>
      <c r="CH38" s="380">
        <v>1</v>
      </c>
      <c r="CI38" s="380">
        <v>0</v>
      </c>
      <c r="CJ38" s="380">
        <v>0</v>
      </c>
      <c r="CK38" s="380">
        <v>0</v>
      </c>
      <c r="CL38" s="380">
        <v>0</v>
      </c>
      <c r="CM38" s="380">
        <v>0</v>
      </c>
      <c r="CN38" s="380">
        <v>0</v>
      </c>
      <c r="CO38" s="380">
        <v>0</v>
      </c>
      <c r="CP38" s="386">
        <v>0</v>
      </c>
      <c r="CQ38" s="193" t="s">
        <v>439</v>
      </c>
      <c r="CR38" s="326" t="s">
        <v>327</v>
      </c>
      <c r="CS38" s="200">
        <f t="shared" ref="CS38:CS69" si="225">$AN38*$AW38*$AX38*BS38</f>
        <v>16919000</v>
      </c>
      <c r="CT38" s="154">
        <f t="shared" ref="CT38:CT69" si="226">$AN38*$AW38*$AX38*BT38</f>
        <v>16919000</v>
      </c>
      <c r="CU38" s="154">
        <f t="shared" ref="CU38:CU69" si="227">$AN38*$AW38*$AX38*BU38</f>
        <v>0</v>
      </c>
      <c r="CV38" s="154">
        <f t="shared" ref="CV38:CV69" si="228">$AN38*$AW38*$AX38*BV38</f>
        <v>0</v>
      </c>
      <c r="CW38" s="154">
        <f t="shared" ref="CW38:CW69" si="229">$AN38*$AW38*$AX38*BW38</f>
        <v>0</v>
      </c>
      <c r="CX38" s="154">
        <f t="shared" ref="CX38:CX69" si="230">$AN38*$AW38*$AX38*BX38</f>
        <v>0</v>
      </c>
      <c r="CY38" s="154">
        <f t="shared" ref="CY38:CY69" si="231">$AN38*$AW38*$AX38*BY38</f>
        <v>0</v>
      </c>
      <c r="CZ38" s="154">
        <f t="shared" ref="CZ38:CZ69" si="232">$AN38*$AW38*$AX38*BZ38</f>
        <v>0</v>
      </c>
      <c r="DA38" s="154">
        <f t="shared" ref="DA38:DA69" si="233">$AN38*$AW38*$AX38*CA38</f>
        <v>0</v>
      </c>
      <c r="DB38" s="154">
        <f t="shared" ref="DB38:DB69" si="234">$AN38*$AW38*$AX38*CB38</f>
        <v>0</v>
      </c>
      <c r="DC38" s="154">
        <f t="shared" ref="DC38:DC69" si="235">$AN38*$AW38*$AX38*CC38</f>
        <v>0</v>
      </c>
      <c r="DD38" s="154">
        <f t="shared" ref="DD38:DD69" si="236">$AN38*$AW38*$AX38*CD38</f>
        <v>0</v>
      </c>
      <c r="DE38" s="326"/>
      <c r="DF38" s="201">
        <f t="shared" ref="DF38:DF69" si="237">$AN38*$BH38*$BI38*CG38</f>
        <v>0</v>
      </c>
      <c r="DG38" s="202">
        <f t="shared" ref="DG38:DG69" si="238">$AN38*$BH38*$BI38*CH38</f>
        <v>16919000</v>
      </c>
      <c r="DH38" s="202">
        <f t="shared" ref="DH38:DH69" si="239">$AN38*$BH38*$BI38*CI38</f>
        <v>0</v>
      </c>
      <c r="DI38" s="202">
        <f t="shared" ref="DI38:DI69" si="240">$AN38*$BH38*$BI38*CJ38</f>
        <v>0</v>
      </c>
      <c r="DJ38" s="202">
        <f t="shared" ref="DJ38:DJ69" si="241">$AN38*$BH38*$BI38*CK38</f>
        <v>0</v>
      </c>
      <c r="DK38" s="202">
        <f t="shared" ref="DK38:DK69" si="242">$AN38*$BH38*$BI38*CL38</f>
        <v>0</v>
      </c>
      <c r="DL38" s="202">
        <f t="shared" ref="DL38:DL69" si="243">$AN38*$BH38*$BI38*CM38</f>
        <v>0</v>
      </c>
      <c r="DM38" s="202">
        <f t="shared" ref="DM38:DM69" si="244">$AN38*$BH38*$BI38*CN38</f>
        <v>0</v>
      </c>
      <c r="DN38" s="202">
        <f t="shared" ref="DN38:DN69" si="245">$AN38*$BH38*$BI38*CO38</f>
        <v>0</v>
      </c>
      <c r="DO38" s="203">
        <f t="shared" ref="DO38:DO69" si="246">$AN38*$BH38*$BI38*CP38</f>
        <v>0</v>
      </c>
      <c r="DP38" s="326" t="s">
        <v>327</v>
      </c>
      <c r="DQ38" s="200">
        <f t="shared" si="30"/>
        <v>14042770</v>
      </c>
      <c r="DR38" s="154">
        <f t="shared" si="100"/>
        <v>14042770</v>
      </c>
      <c r="DS38" s="154">
        <f t="shared" si="101"/>
        <v>0</v>
      </c>
      <c r="DT38" s="154">
        <f t="shared" si="102"/>
        <v>0</v>
      </c>
      <c r="DU38" s="154">
        <f t="shared" si="103"/>
        <v>0</v>
      </c>
      <c r="DV38" s="154">
        <f t="shared" si="104"/>
        <v>0</v>
      </c>
      <c r="DW38" s="154">
        <f t="shared" si="105"/>
        <v>0</v>
      </c>
      <c r="DX38" s="154">
        <f t="shared" si="106"/>
        <v>0</v>
      </c>
      <c r="DY38" s="154">
        <f t="shared" si="107"/>
        <v>0</v>
      </c>
      <c r="DZ38" s="154">
        <f t="shared" si="108"/>
        <v>0</v>
      </c>
      <c r="EA38" s="154">
        <f t="shared" si="40"/>
        <v>0</v>
      </c>
      <c r="EB38" s="154">
        <f t="shared" si="109"/>
        <v>0</v>
      </c>
      <c r="EC38" s="326"/>
      <c r="ED38" s="201">
        <f t="shared" si="42"/>
        <v>0</v>
      </c>
      <c r="EE38" s="202">
        <f t="shared" si="128"/>
        <v>14042770</v>
      </c>
      <c r="EF38" s="202">
        <f t="shared" si="129"/>
        <v>0</v>
      </c>
      <c r="EG38" s="202">
        <f t="shared" si="130"/>
        <v>0</v>
      </c>
      <c r="EH38" s="202">
        <f t="shared" si="131"/>
        <v>0</v>
      </c>
      <c r="EI38" s="202">
        <f t="shared" si="132"/>
        <v>0</v>
      </c>
      <c r="EJ38" s="202">
        <f t="shared" si="133"/>
        <v>0</v>
      </c>
      <c r="EK38" s="202">
        <f t="shared" si="134"/>
        <v>0</v>
      </c>
      <c r="EL38" s="202">
        <f t="shared" si="135"/>
        <v>0</v>
      </c>
      <c r="EM38" s="203">
        <f t="shared" si="136"/>
        <v>0</v>
      </c>
      <c r="EN38" s="326" t="s">
        <v>327</v>
      </c>
      <c r="EO38" s="200">
        <f t="shared" si="43"/>
        <v>2876230</v>
      </c>
      <c r="EP38" s="154">
        <f t="shared" si="110"/>
        <v>2876230</v>
      </c>
      <c r="EQ38" s="154">
        <f t="shared" si="111"/>
        <v>0</v>
      </c>
      <c r="ER38" s="154">
        <f t="shared" si="112"/>
        <v>0</v>
      </c>
      <c r="ES38" s="154">
        <f t="shared" si="113"/>
        <v>0</v>
      </c>
      <c r="ET38" s="154">
        <f t="shared" si="114"/>
        <v>0</v>
      </c>
      <c r="EU38" s="154">
        <f t="shared" si="115"/>
        <v>0</v>
      </c>
      <c r="EV38" s="154">
        <f t="shared" si="116"/>
        <v>0</v>
      </c>
      <c r="EW38" s="154">
        <f t="shared" si="117"/>
        <v>0</v>
      </c>
      <c r="EX38" s="154">
        <f t="shared" si="118"/>
        <v>0</v>
      </c>
      <c r="EY38" s="154">
        <f t="shared" si="53"/>
        <v>0</v>
      </c>
      <c r="EZ38" s="154">
        <f t="shared" si="119"/>
        <v>0</v>
      </c>
      <c r="FA38" s="326"/>
      <c r="FB38" s="201">
        <f t="shared" si="55"/>
        <v>0</v>
      </c>
      <c r="FC38" s="202">
        <f t="shared" si="137"/>
        <v>2876230</v>
      </c>
      <c r="FD38" s="202">
        <f t="shared" si="138"/>
        <v>0</v>
      </c>
      <c r="FE38" s="202">
        <f t="shared" si="139"/>
        <v>0</v>
      </c>
      <c r="FF38" s="202">
        <f t="shared" si="140"/>
        <v>0</v>
      </c>
      <c r="FG38" s="202">
        <f t="shared" si="141"/>
        <v>0</v>
      </c>
      <c r="FH38" s="202">
        <f t="shared" si="142"/>
        <v>0</v>
      </c>
      <c r="FI38" s="202">
        <f t="shared" si="143"/>
        <v>0</v>
      </c>
      <c r="FJ38" s="202">
        <f t="shared" si="144"/>
        <v>0</v>
      </c>
      <c r="FK38" s="203">
        <f t="shared" si="145"/>
        <v>0</v>
      </c>
    </row>
    <row r="39" spans="1:167" s="6" customFormat="1">
      <c r="A39" s="223" t="s">
        <v>162</v>
      </c>
      <c r="B39" s="223" t="s">
        <v>161</v>
      </c>
      <c r="C39" s="224" t="s">
        <v>121</v>
      </c>
      <c r="D39" s="225">
        <f t="shared" si="56"/>
        <v>34</v>
      </c>
      <c r="E39" s="327" t="s">
        <v>327</v>
      </c>
      <c r="F39" s="232">
        <v>5568000</v>
      </c>
      <c r="G39" s="233">
        <v>7451000</v>
      </c>
      <c r="H39" s="233">
        <v>8845000</v>
      </c>
      <c r="I39" s="233">
        <v>9865000</v>
      </c>
      <c r="J39" s="233">
        <v>7693000</v>
      </c>
      <c r="K39" s="233">
        <v>3825000</v>
      </c>
      <c r="L39" s="484" t="s">
        <v>895</v>
      </c>
      <c r="M39" s="483" t="s">
        <v>789</v>
      </c>
      <c r="N39" s="327" t="s">
        <v>327</v>
      </c>
      <c r="O39" s="434"/>
      <c r="P39" s="239"/>
      <c r="Q39" s="239"/>
      <c r="R39" s="239"/>
      <c r="S39" s="226"/>
      <c r="T39" s="226"/>
      <c r="U39" s="227"/>
      <c r="V39" s="229"/>
      <c r="W39" s="326" t="s">
        <v>327</v>
      </c>
      <c r="X39" s="425">
        <v>1158000</v>
      </c>
      <c r="Y39" s="226">
        <v>4111000</v>
      </c>
      <c r="Z39" s="226">
        <v>5568000</v>
      </c>
      <c r="AA39" s="226">
        <v>7451000</v>
      </c>
      <c r="AB39" s="226">
        <v>8845000</v>
      </c>
      <c r="AC39" s="226">
        <v>9022000</v>
      </c>
      <c r="AD39" s="226">
        <v>8845000</v>
      </c>
      <c r="AE39" s="226" t="s">
        <v>643</v>
      </c>
      <c r="AF39" s="229" t="s">
        <v>327</v>
      </c>
      <c r="AG39" s="326" t="s">
        <v>327</v>
      </c>
      <c r="AH39" s="425">
        <f t="shared" si="216"/>
        <v>5568000</v>
      </c>
      <c r="AI39" s="226">
        <f t="shared" si="217"/>
        <v>7451000</v>
      </c>
      <c r="AJ39" s="226">
        <f t="shared" si="218"/>
        <v>8845000</v>
      </c>
      <c r="AK39" s="226">
        <f t="shared" si="219"/>
        <v>9865000</v>
      </c>
      <c r="AL39" s="226">
        <f t="shared" si="220"/>
        <v>7693000</v>
      </c>
      <c r="AM39" s="226">
        <f t="shared" si="221"/>
        <v>3825000</v>
      </c>
      <c r="AN39" s="226">
        <f t="shared" si="222"/>
        <v>9865000</v>
      </c>
      <c r="AO39" s="226" t="str">
        <f t="shared" si="223"/>
        <v>CEA 2010</v>
      </c>
      <c r="AP39" s="229" t="str">
        <f t="shared" si="224"/>
        <v>"Includes: Analog telephone adapters and embedded multimedia terminal adapters"</v>
      </c>
      <c r="AQ39" s="326" t="s">
        <v>327</v>
      </c>
      <c r="AR39" s="440" t="s">
        <v>775</v>
      </c>
      <c r="AS39" s="514">
        <v>0</v>
      </c>
      <c r="AT39" s="227"/>
      <c r="AU39" s="229"/>
      <c r="AV39" s="326" t="s">
        <v>327</v>
      </c>
      <c r="AW39" s="447">
        <v>0.8</v>
      </c>
      <c r="AX39" s="228">
        <v>1</v>
      </c>
      <c r="AY39" s="238" t="s">
        <v>249</v>
      </c>
      <c r="AZ39" s="227"/>
      <c r="BA39" s="227">
        <v>12</v>
      </c>
      <c r="BB39" s="227">
        <v>15</v>
      </c>
      <c r="BC39" s="227" t="s">
        <v>272</v>
      </c>
      <c r="BD39" s="227">
        <v>5</v>
      </c>
      <c r="BE39" s="227">
        <v>10</v>
      </c>
      <c r="BF39" s="229" t="s">
        <v>272</v>
      </c>
      <c r="BG39" s="326" t="s">
        <v>327</v>
      </c>
      <c r="BH39" s="447">
        <v>0</v>
      </c>
      <c r="BI39" s="228">
        <v>0</v>
      </c>
      <c r="BJ39" s="484" t="s">
        <v>400</v>
      </c>
      <c r="BK39" s="484"/>
      <c r="BL39" s="484" t="s">
        <v>283</v>
      </c>
      <c r="BM39" s="484" t="s">
        <v>283</v>
      </c>
      <c r="BN39" s="484" t="s">
        <v>283</v>
      </c>
      <c r="BO39" s="227"/>
      <c r="BP39" s="227"/>
      <c r="BQ39" s="229"/>
      <c r="BR39" s="326" t="s">
        <v>327</v>
      </c>
      <c r="BS39" s="455">
        <v>0.75</v>
      </c>
      <c r="BT39" s="230">
        <v>0</v>
      </c>
      <c r="BU39" s="230">
        <v>0.75</v>
      </c>
      <c r="BV39" s="230">
        <v>0</v>
      </c>
      <c r="BW39" s="230">
        <v>0</v>
      </c>
      <c r="BX39" s="230">
        <v>0.25</v>
      </c>
      <c r="BY39" s="230">
        <v>0</v>
      </c>
      <c r="BZ39" s="230">
        <v>0</v>
      </c>
      <c r="CA39" s="230">
        <v>0</v>
      </c>
      <c r="CB39" s="230">
        <v>0</v>
      </c>
      <c r="CC39" s="230">
        <v>0</v>
      </c>
      <c r="CD39" s="231">
        <v>0</v>
      </c>
      <c r="CE39" s="229" t="s">
        <v>272</v>
      </c>
      <c r="CF39" s="326" t="s">
        <v>327</v>
      </c>
      <c r="CG39" s="381">
        <v>0</v>
      </c>
      <c r="CH39" s="382">
        <v>0</v>
      </c>
      <c r="CI39" s="382">
        <v>0</v>
      </c>
      <c r="CJ39" s="382">
        <v>0</v>
      </c>
      <c r="CK39" s="382">
        <v>0</v>
      </c>
      <c r="CL39" s="382">
        <v>0</v>
      </c>
      <c r="CM39" s="382">
        <v>0</v>
      </c>
      <c r="CN39" s="382">
        <v>0</v>
      </c>
      <c r="CO39" s="382">
        <v>0</v>
      </c>
      <c r="CP39" s="387">
        <v>0</v>
      </c>
      <c r="CQ39" s="229" t="s">
        <v>272</v>
      </c>
      <c r="CR39" s="326" t="s">
        <v>327</v>
      </c>
      <c r="CS39" s="232">
        <f t="shared" si="225"/>
        <v>5919000</v>
      </c>
      <c r="CT39" s="233">
        <f t="shared" si="226"/>
        <v>0</v>
      </c>
      <c r="CU39" s="233">
        <f t="shared" si="227"/>
        <v>5919000</v>
      </c>
      <c r="CV39" s="233">
        <f t="shared" si="228"/>
        <v>0</v>
      </c>
      <c r="CW39" s="233">
        <f t="shared" si="229"/>
        <v>0</v>
      </c>
      <c r="CX39" s="233">
        <f t="shared" si="230"/>
        <v>1973000</v>
      </c>
      <c r="CY39" s="233">
        <f t="shared" si="231"/>
        <v>0</v>
      </c>
      <c r="CZ39" s="233">
        <f t="shared" si="232"/>
        <v>0</v>
      </c>
      <c r="DA39" s="233">
        <f t="shared" si="233"/>
        <v>0</v>
      </c>
      <c r="DB39" s="233">
        <f t="shared" si="234"/>
        <v>0</v>
      </c>
      <c r="DC39" s="233">
        <f t="shared" si="235"/>
        <v>0</v>
      </c>
      <c r="DD39" s="233">
        <f t="shared" si="236"/>
        <v>0</v>
      </c>
      <c r="DE39" s="326"/>
      <c r="DF39" s="234">
        <f t="shared" si="237"/>
        <v>0</v>
      </c>
      <c r="DG39" s="235">
        <f t="shared" si="238"/>
        <v>0</v>
      </c>
      <c r="DH39" s="235">
        <f t="shared" si="239"/>
        <v>0</v>
      </c>
      <c r="DI39" s="235">
        <f t="shared" si="240"/>
        <v>0</v>
      </c>
      <c r="DJ39" s="235">
        <f t="shared" si="241"/>
        <v>0</v>
      </c>
      <c r="DK39" s="235">
        <f t="shared" si="242"/>
        <v>0</v>
      </c>
      <c r="DL39" s="235">
        <f t="shared" si="243"/>
        <v>0</v>
      </c>
      <c r="DM39" s="235">
        <f t="shared" si="244"/>
        <v>0</v>
      </c>
      <c r="DN39" s="235">
        <f t="shared" si="245"/>
        <v>0</v>
      </c>
      <c r="DO39" s="236">
        <f t="shared" si="246"/>
        <v>0</v>
      </c>
      <c r="DP39" s="326" t="s">
        <v>327</v>
      </c>
      <c r="DQ39" s="232">
        <f t="shared" si="30"/>
        <v>5919000</v>
      </c>
      <c r="DR39" s="233">
        <f t="shared" si="100"/>
        <v>0</v>
      </c>
      <c r="DS39" s="233">
        <f t="shared" si="101"/>
        <v>5919000</v>
      </c>
      <c r="DT39" s="233">
        <f t="shared" si="102"/>
        <v>0</v>
      </c>
      <c r="DU39" s="233">
        <f t="shared" si="103"/>
        <v>0</v>
      </c>
      <c r="DV39" s="233">
        <f t="shared" si="104"/>
        <v>1973000</v>
      </c>
      <c r="DW39" s="233">
        <f t="shared" si="105"/>
        <v>0</v>
      </c>
      <c r="DX39" s="233">
        <f t="shared" si="106"/>
        <v>0</v>
      </c>
      <c r="DY39" s="233">
        <f t="shared" si="107"/>
        <v>0</v>
      </c>
      <c r="DZ39" s="233">
        <f t="shared" si="108"/>
        <v>0</v>
      </c>
      <c r="EA39" s="233">
        <f t="shared" si="40"/>
        <v>0</v>
      </c>
      <c r="EB39" s="233">
        <f t="shared" si="109"/>
        <v>0</v>
      </c>
      <c r="EC39" s="326"/>
      <c r="ED39" s="234">
        <f t="shared" si="42"/>
        <v>0</v>
      </c>
      <c r="EE39" s="235">
        <f t="shared" si="128"/>
        <v>0</v>
      </c>
      <c r="EF39" s="235">
        <f t="shared" si="129"/>
        <v>0</v>
      </c>
      <c r="EG39" s="235">
        <f t="shared" si="130"/>
        <v>0</v>
      </c>
      <c r="EH39" s="235">
        <f t="shared" si="131"/>
        <v>0</v>
      </c>
      <c r="EI39" s="235">
        <f t="shared" si="132"/>
        <v>0</v>
      </c>
      <c r="EJ39" s="235">
        <f t="shared" si="133"/>
        <v>0</v>
      </c>
      <c r="EK39" s="235">
        <f t="shared" si="134"/>
        <v>0</v>
      </c>
      <c r="EL39" s="235">
        <f t="shared" si="135"/>
        <v>0</v>
      </c>
      <c r="EM39" s="236">
        <f t="shared" si="136"/>
        <v>0</v>
      </c>
      <c r="EN39" s="326" t="s">
        <v>327</v>
      </c>
      <c r="EO39" s="232">
        <f t="shared" si="43"/>
        <v>0</v>
      </c>
      <c r="EP39" s="233">
        <f t="shared" si="110"/>
        <v>0</v>
      </c>
      <c r="EQ39" s="233">
        <f t="shared" si="111"/>
        <v>0</v>
      </c>
      <c r="ER39" s="233">
        <f t="shared" si="112"/>
        <v>0</v>
      </c>
      <c r="ES39" s="233">
        <f t="shared" si="113"/>
        <v>0</v>
      </c>
      <c r="ET39" s="233">
        <f t="shared" si="114"/>
        <v>0</v>
      </c>
      <c r="EU39" s="233">
        <f t="shared" si="115"/>
        <v>0</v>
      </c>
      <c r="EV39" s="233">
        <f t="shared" si="116"/>
        <v>0</v>
      </c>
      <c r="EW39" s="233">
        <f t="shared" si="117"/>
        <v>0</v>
      </c>
      <c r="EX39" s="233">
        <f t="shared" si="118"/>
        <v>0</v>
      </c>
      <c r="EY39" s="233">
        <f t="shared" si="53"/>
        <v>0</v>
      </c>
      <c r="EZ39" s="233">
        <f t="shared" si="119"/>
        <v>0</v>
      </c>
      <c r="FA39" s="326"/>
      <c r="FB39" s="234">
        <f t="shared" si="55"/>
        <v>0</v>
      </c>
      <c r="FC39" s="235">
        <f t="shared" si="137"/>
        <v>0</v>
      </c>
      <c r="FD39" s="235">
        <f t="shared" si="138"/>
        <v>0</v>
      </c>
      <c r="FE39" s="235">
        <f t="shared" si="139"/>
        <v>0</v>
      </c>
      <c r="FF39" s="235">
        <f t="shared" si="140"/>
        <v>0</v>
      </c>
      <c r="FG39" s="235">
        <f t="shared" si="141"/>
        <v>0</v>
      </c>
      <c r="FH39" s="235">
        <f t="shared" si="142"/>
        <v>0</v>
      </c>
      <c r="FI39" s="235">
        <f t="shared" si="143"/>
        <v>0</v>
      </c>
      <c r="FJ39" s="235">
        <f t="shared" si="144"/>
        <v>0</v>
      </c>
      <c r="FK39" s="236">
        <f t="shared" si="145"/>
        <v>0</v>
      </c>
    </row>
    <row r="40" spans="1:167" s="6" customFormat="1" ht="13.5" customHeight="1">
      <c r="A40" s="186" t="s">
        <v>164</v>
      </c>
      <c r="B40" s="186" t="s">
        <v>199</v>
      </c>
      <c r="C40" s="187" t="s">
        <v>122</v>
      </c>
      <c r="D40" s="188">
        <f t="shared" si="56"/>
        <v>35</v>
      </c>
      <c r="E40" s="327" t="s">
        <v>327</v>
      </c>
      <c r="F40" s="154"/>
      <c r="G40" s="154"/>
      <c r="H40" s="154"/>
      <c r="I40" s="154">
        <v>1700000</v>
      </c>
      <c r="J40" s="154"/>
      <c r="K40" s="154"/>
      <c r="L40" s="481" t="s">
        <v>843</v>
      </c>
      <c r="M40" s="478" t="s">
        <v>917</v>
      </c>
      <c r="N40" s="327" t="s">
        <v>327</v>
      </c>
      <c r="O40" s="200"/>
      <c r="P40" s="154"/>
      <c r="Q40" s="154"/>
      <c r="R40" s="154"/>
      <c r="S40" s="154"/>
      <c r="T40" s="189"/>
      <c r="U40" s="481"/>
      <c r="V40" s="478"/>
      <c r="W40" s="326" t="s">
        <v>327</v>
      </c>
      <c r="X40" s="435">
        <v>0</v>
      </c>
      <c r="Y40" s="189">
        <v>1500000</v>
      </c>
      <c r="Z40" s="189">
        <v>0</v>
      </c>
      <c r="AA40" s="189">
        <v>0</v>
      </c>
      <c r="AB40" s="189">
        <v>0</v>
      </c>
      <c r="AC40" s="189">
        <v>0</v>
      </c>
      <c r="AD40" s="189">
        <v>1500000</v>
      </c>
      <c r="AE40" s="154" t="s">
        <v>640</v>
      </c>
      <c r="AF40" s="197" t="s">
        <v>642</v>
      </c>
      <c r="AG40" s="326" t="s">
        <v>327</v>
      </c>
      <c r="AH40" s="435"/>
      <c r="AI40" s="189"/>
      <c r="AJ40" s="189"/>
      <c r="AK40" s="189">
        <f t="shared" si="219"/>
        <v>1700000</v>
      </c>
      <c r="AL40" s="189"/>
      <c r="AM40" s="189"/>
      <c r="AN40" s="189">
        <f t="shared" si="0"/>
        <v>1700000</v>
      </c>
      <c r="AO40" s="189" t="str">
        <f t="shared" si="223"/>
        <v>DOE estimate</v>
      </c>
      <c r="AP40" s="197" t="str">
        <f t="shared" si="223"/>
        <v>Based on first-births in 2007, as reported by CDC (http://www.cdc.gov/nchs/data/nvsr/nvsr57/nvsr57_12.pdf)</v>
      </c>
      <c r="AQ40" s="326" t="s">
        <v>327</v>
      </c>
      <c r="AR40" s="439" t="s">
        <v>775</v>
      </c>
      <c r="AS40" s="511">
        <v>0</v>
      </c>
      <c r="AT40" s="193"/>
      <c r="AU40" s="197"/>
      <c r="AV40" s="326" t="s">
        <v>327</v>
      </c>
      <c r="AW40" s="445">
        <v>1</v>
      </c>
      <c r="AX40" s="196">
        <v>2</v>
      </c>
      <c r="AY40" s="193" t="s">
        <v>249</v>
      </c>
      <c r="AZ40" s="193"/>
      <c r="BA40" s="193">
        <v>6</v>
      </c>
      <c r="BB40" s="193">
        <v>2.4</v>
      </c>
      <c r="BC40" s="193" t="s">
        <v>305</v>
      </c>
      <c r="BD40" s="193"/>
      <c r="BE40" s="193"/>
      <c r="BF40" s="197"/>
      <c r="BG40" s="326" t="s">
        <v>327</v>
      </c>
      <c r="BH40" s="445">
        <v>1</v>
      </c>
      <c r="BI40" s="196">
        <v>2</v>
      </c>
      <c r="BJ40" s="193" t="s">
        <v>249</v>
      </c>
      <c r="BK40" s="193"/>
      <c r="BL40" s="193">
        <v>2.4</v>
      </c>
      <c r="BM40" s="193">
        <v>1.32</v>
      </c>
      <c r="BN40" s="193" t="s">
        <v>304</v>
      </c>
      <c r="BO40" s="193"/>
      <c r="BP40" s="193"/>
      <c r="BQ40" s="197"/>
      <c r="BR40" s="326" t="s">
        <v>327</v>
      </c>
      <c r="BS40" s="452">
        <v>1</v>
      </c>
      <c r="BT40" s="198">
        <v>1</v>
      </c>
      <c r="BU40" s="198">
        <v>0</v>
      </c>
      <c r="BV40" s="198">
        <v>0</v>
      </c>
      <c r="BW40" s="198">
        <v>0</v>
      </c>
      <c r="BX40" s="198">
        <v>0</v>
      </c>
      <c r="BY40" s="198">
        <v>0</v>
      </c>
      <c r="BZ40" s="198">
        <v>0</v>
      </c>
      <c r="CA40" s="198">
        <v>0</v>
      </c>
      <c r="CB40" s="198">
        <v>0</v>
      </c>
      <c r="CC40" s="198">
        <v>0</v>
      </c>
      <c r="CD40" s="199">
        <v>0</v>
      </c>
      <c r="CE40" s="197" t="s">
        <v>249</v>
      </c>
      <c r="CF40" s="326" t="s">
        <v>327</v>
      </c>
      <c r="CG40" s="379">
        <v>0</v>
      </c>
      <c r="CH40" s="380">
        <v>1</v>
      </c>
      <c r="CI40" s="380">
        <v>0</v>
      </c>
      <c r="CJ40" s="380">
        <v>0</v>
      </c>
      <c r="CK40" s="380">
        <v>0</v>
      </c>
      <c r="CL40" s="380">
        <v>0</v>
      </c>
      <c r="CM40" s="380">
        <v>0</v>
      </c>
      <c r="CN40" s="380">
        <v>0</v>
      </c>
      <c r="CO40" s="380">
        <v>0</v>
      </c>
      <c r="CP40" s="386">
        <v>0</v>
      </c>
      <c r="CQ40" s="197" t="s">
        <v>249</v>
      </c>
      <c r="CR40" s="326" t="s">
        <v>327</v>
      </c>
      <c r="CS40" s="200">
        <f t="shared" si="225"/>
        <v>3400000</v>
      </c>
      <c r="CT40" s="154">
        <f t="shared" si="226"/>
        <v>3400000</v>
      </c>
      <c r="CU40" s="154">
        <f t="shared" si="227"/>
        <v>0</v>
      </c>
      <c r="CV40" s="154">
        <f t="shared" si="228"/>
        <v>0</v>
      </c>
      <c r="CW40" s="154">
        <f t="shared" si="229"/>
        <v>0</v>
      </c>
      <c r="CX40" s="154">
        <f t="shared" si="230"/>
        <v>0</v>
      </c>
      <c r="CY40" s="154">
        <f t="shared" si="231"/>
        <v>0</v>
      </c>
      <c r="CZ40" s="154">
        <f t="shared" si="232"/>
        <v>0</v>
      </c>
      <c r="DA40" s="154">
        <f t="shared" si="233"/>
        <v>0</v>
      </c>
      <c r="DB40" s="154">
        <f t="shared" si="234"/>
        <v>0</v>
      </c>
      <c r="DC40" s="154">
        <f t="shared" si="235"/>
        <v>0</v>
      </c>
      <c r="DD40" s="154">
        <f t="shared" si="236"/>
        <v>0</v>
      </c>
      <c r="DE40" s="326"/>
      <c r="DF40" s="201">
        <f t="shared" si="237"/>
        <v>0</v>
      </c>
      <c r="DG40" s="202">
        <f t="shared" si="238"/>
        <v>3400000</v>
      </c>
      <c r="DH40" s="202">
        <f t="shared" si="239"/>
        <v>0</v>
      </c>
      <c r="DI40" s="202">
        <f t="shared" si="240"/>
        <v>0</v>
      </c>
      <c r="DJ40" s="202">
        <f t="shared" si="241"/>
        <v>0</v>
      </c>
      <c r="DK40" s="202">
        <f t="shared" si="242"/>
        <v>0</v>
      </c>
      <c r="DL40" s="202">
        <f t="shared" si="243"/>
        <v>0</v>
      </c>
      <c r="DM40" s="202">
        <f t="shared" si="244"/>
        <v>0</v>
      </c>
      <c r="DN40" s="202">
        <f t="shared" si="245"/>
        <v>0</v>
      </c>
      <c r="DO40" s="203">
        <f t="shared" si="246"/>
        <v>0</v>
      </c>
      <c r="DP40" s="326" t="s">
        <v>327</v>
      </c>
      <c r="DQ40" s="200">
        <f t="shared" si="30"/>
        <v>3400000</v>
      </c>
      <c r="DR40" s="154">
        <f t="shared" si="100"/>
        <v>3400000</v>
      </c>
      <c r="DS40" s="154">
        <f t="shared" si="101"/>
        <v>0</v>
      </c>
      <c r="DT40" s="154">
        <f t="shared" si="102"/>
        <v>0</v>
      </c>
      <c r="DU40" s="154">
        <f t="shared" si="103"/>
        <v>0</v>
      </c>
      <c r="DV40" s="154">
        <f t="shared" si="104"/>
        <v>0</v>
      </c>
      <c r="DW40" s="154">
        <f t="shared" si="105"/>
        <v>0</v>
      </c>
      <c r="DX40" s="154">
        <f t="shared" si="106"/>
        <v>0</v>
      </c>
      <c r="DY40" s="154">
        <f t="shared" si="107"/>
        <v>0</v>
      </c>
      <c r="DZ40" s="154">
        <f t="shared" si="108"/>
        <v>0</v>
      </c>
      <c r="EA40" s="154">
        <f t="shared" si="40"/>
        <v>0</v>
      </c>
      <c r="EB40" s="154">
        <f t="shared" si="109"/>
        <v>0</v>
      </c>
      <c r="EC40" s="326"/>
      <c r="ED40" s="201">
        <f t="shared" si="42"/>
        <v>0</v>
      </c>
      <c r="EE40" s="202">
        <f t="shared" si="128"/>
        <v>3400000</v>
      </c>
      <c r="EF40" s="202">
        <f t="shared" si="129"/>
        <v>0</v>
      </c>
      <c r="EG40" s="202">
        <f t="shared" si="130"/>
        <v>0</v>
      </c>
      <c r="EH40" s="202">
        <f t="shared" si="131"/>
        <v>0</v>
      </c>
      <c r="EI40" s="202">
        <f t="shared" si="132"/>
        <v>0</v>
      </c>
      <c r="EJ40" s="202">
        <f t="shared" si="133"/>
        <v>0</v>
      </c>
      <c r="EK40" s="202">
        <f t="shared" si="134"/>
        <v>0</v>
      </c>
      <c r="EL40" s="202">
        <f t="shared" si="135"/>
        <v>0</v>
      </c>
      <c r="EM40" s="203">
        <f t="shared" si="136"/>
        <v>0</v>
      </c>
      <c r="EN40" s="326" t="s">
        <v>327</v>
      </c>
      <c r="EO40" s="200">
        <f t="shared" si="43"/>
        <v>0</v>
      </c>
      <c r="EP40" s="154">
        <f t="shared" si="110"/>
        <v>0</v>
      </c>
      <c r="EQ40" s="154">
        <f t="shared" si="111"/>
        <v>0</v>
      </c>
      <c r="ER40" s="154">
        <f t="shared" si="112"/>
        <v>0</v>
      </c>
      <c r="ES40" s="154">
        <f t="shared" si="113"/>
        <v>0</v>
      </c>
      <c r="ET40" s="154">
        <f t="shared" si="114"/>
        <v>0</v>
      </c>
      <c r="EU40" s="154">
        <f t="shared" si="115"/>
        <v>0</v>
      </c>
      <c r="EV40" s="154">
        <f t="shared" si="116"/>
        <v>0</v>
      </c>
      <c r="EW40" s="154">
        <f t="shared" si="117"/>
        <v>0</v>
      </c>
      <c r="EX40" s="154">
        <f t="shared" si="118"/>
        <v>0</v>
      </c>
      <c r="EY40" s="154">
        <f t="shared" si="53"/>
        <v>0</v>
      </c>
      <c r="EZ40" s="154">
        <f t="shared" si="119"/>
        <v>0</v>
      </c>
      <c r="FA40" s="326"/>
      <c r="FB40" s="201">
        <f t="shared" si="55"/>
        <v>0</v>
      </c>
      <c r="FC40" s="202">
        <f t="shared" si="137"/>
        <v>0</v>
      </c>
      <c r="FD40" s="202">
        <f t="shared" si="138"/>
        <v>0</v>
      </c>
      <c r="FE40" s="202">
        <f t="shared" si="139"/>
        <v>0</v>
      </c>
      <c r="FF40" s="202">
        <f t="shared" si="140"/>
        <v>0</v>
      </c>
      <c r="FG40" s="202">
        <f t="shared" si="141"/>
        <v>0</v>
      </c>
      <c r="FH40" s="202">
        <f t="shared" si="142"/>
        <v>0</v>
      </c>
      <c r="FI40" s="202">
        <f t="shared" si="143"/>
        <v>0</v>
      </c>
      <c r="FJ40" s="202">
        <f t="shared" si="144"/>
        <v>0</v>
      </c>
      <c r="FK40" s="203">
        <f t="shared" si="145"/>
        <v>0</v>
      </c>
    </row>
    <row r="41" spans="1:167" s="6" customFormat="1">
      <c r="A41" s="204" t="s">
        <v>164</v>
      </c>
      <c r="B41" s="204" t="s">
        <v>199</v>
      </c>
      <c r="C41" s="205" t="s">
        <v>131</v>
      </c>
      <c r="D41" s="206">
        <f t="shared" si="56"/>
        <v>36</v>
      </c>
      <c r="E41" s="327" t="s">
        <v>327</v>
      </c>
      <c r="F41" s="219"/>
      <c r="G41" s="219"/>
      <c r="H41" s="219"/>
      <c r="I41" s="219">
        <v>550000</v>
      </c>
      <c r="J41" s="219"/>
      <c r="K41" s="219"/>
      <c r="L41" s="479" t="s">
        <v>843</v>
      </c>
      <c r="M41" s="480" t="s">
        <v>918</v>
      </c>
      <c r="N41" s="327" t="s">
        <v>327</v>
      </c>
      <c r="O41" s="433"/>
      <c r="P41" s="209"/>
      <c r="Q41" s="207"/>
      <c r="R41" s="207"/>
      <c r="S41" s="207"/>
      <c r="T41" s="207"/>
      <c r="U41" s="479"/>
      <c r="V41" s="480"/>
      <c r="W41" s="326" t="s">
        <v>327</v>
      </c>
      <c r="X41" s="436">
        <v>0</v>
      </c>
      <c r="Y41" s="207">
        <v>0</v>
      </c>
      <c r="Z41" s="207">
        <v>0</v>
      </c>
      <c r="AA41" s="207">
        <v>0</v>
      </c>
      <c r="AB41" s="207">
        <v>300000</v>
      </c>
      <c r="AC41" s="207">
        <v>0</v>
      </c>
      <c r="AD41" s="207">
        <v>300000</v>
      </c>
      <c r="AE41" s="207" t="s">
        <v>641</v>
      </c>
      <c r="AF41" s="215" t="s">
        <v>642</v>
      </c>
      <c r="AG41" s="326" t="s">
        <v>327</v>
      </c>
      <c r="AH41" s="436"/>
      <c r="AI41" s="207"/>
      <c r="AJ41" s="207"/>
      <c r="AK41" s="207">
        <f t="shared" si="219"/>
        <v>550000</v>
      </c>
      <c r="AL41" s="207"/>
      <c r="AM41" s="207"/>
      <c r="AN41" s="207">
        <f t="shared" si="0"/>
        <v>550000</v>
      </c>
      <c r="AO41" s="207" t="str">
        <f t="shared" ref="AO41:AO43" si="247">L41</f>
        <v>DOE estimate</v>
      </c>
      <c r="AP41" s="215" t="str">
        <f t="shared" ref="AP41:AP43" si="248">M41</f>
        <v>Based on first-births in 2007 (1.7 million) and average rate of breastfeeding at 6 months (31.9%)</v>
      </c>
      <c r="AQ41" s="326" t="s">
        <v>327</v>
      </c>
      <c r="AR41" s="441" t="s">
        <v>775</v>
      </c>
      <c r="AS41" s="512">
        <v>0</v>
      </c>
      <c r="AT41" s="211"/>
      <c r="AU41" s="215"/>
      <c r="AV41" s="326" t="s">
        <v>327</v>
      </c>
      <c r="AW41" s="446">
        <v>1</v>
      </c>
      <c r="AX41" s="214">
        <v>1</v>
      </c>
      <c r="AY41" s="210" t="s">
        <v>274</v>
      </c>
      <c r="AZ41" s="211"/>
      <c r="BA41" s="211"/>
      <c r="BB41" s="211"/>
      <c r="BC41" s="211"/>
      <c r="BD41" s="211"/>
      <c r="BE41" s="211"/>
      <c r="BF41" s="215"/>
      <c r="BG41" s="326" t="s">
        <v>327</v>
      </c>
      <c r="BH41" s="446">
        <v>0</v>
      </c>
      <c r="BI41" s="214">
        <v>0</v>
      </c>
      <c r="BJ41" s="211" t="s">
        <v>400</v>
      </c>
      <c r="BK41" s="211"/>
      <c r="BL41" s="211" t="s">
        <v>283</v>
      </c>
      <c r="BM41" s="211" t="s">
        <v>283</v>
      </c>
      <c r="BN41" s="211"/>
      <c r="BO41" s="211"/>
      <c r="BP41" s="211"/>
      <c r="BQ41" s="215"/>
      <c r="BR41" s="326" t="s">
        <v>327</v>
      </c>
      <c r="BS41" s="453">
        <v>1</v>
      </c>
      <c r="BT41" s="216">
        <v>1</v>
      </c>
      <c r="BU41" s="216">
        <v>0</v>
      </c>
      <c r="BV41" s="216">
        <v>0</v>
      </c>
      <c r="BW41" s="216">
        <v>0</v>
      </c>
      <c r="BX41" s="216">
        <v>0</v>
      </c>
      <c r="BY41" s="216">
        <v>0</v>
      </c>
      <c r="BZ41" s="216">
        <v>0</v>
      </c>
      <c r="CA41" s="216">
        <v>0</v>
      </c>
      <c r="CB41" s="216">
        <v>0</v>
      </c>
      <c r="CC41" s="216">
        <v>0</v>
      </c>
      <c r="CD41" s="217">
        <v>0</v>
      </c>
      <c r="CE41" s="215" t="s">
        <v>249</v>
      </c>
      <c r="CF41" s="326" t="s">
        <v>327</v>
      </c>
      <c r="CG41" s="377">
        <v>0</v>
      </c>
      <c r="CH41" s="378">
        <v>0</v>
      </c>
      <c r="CI41" s="378">
        <v>0</v>
      </c>
      <c r="CJ41" s="378">
        <v>0</v>
      </c>
      <c r="CK41" s="378">
        <v>0</v>
      </c>
      <c r="CL41" s="378">
        <v>0</v>
      </c>
      <c r="CM41" s="378">
        <v>0</v>
      </c>
      <c r="CN41" s="378">
        <v>0</v>
      </c>
      <c r="CO41" s="378">
        <v>0</v>
      </c>
      <c r="CP41" s="385">
        <v>0</v>
      </c>
      <c r="CQ41" s="215" t="s">
        <v>249</v>
      </c>
      <c r="CR41" s="326" t="s">
        <v>327</v>
      </c>
      <c r="CS41" s="218">
        <f t="shared" si="225"/>
        <v>550000</v>
      </c>
      <c r="CT41" s="219">
        <f t="shared" si="226"/>
        <v>550000</v>
      </c>
      <c r="CU41" s="219">
        <f t="shared" si="227"/>
        <v>0</v>
      </c>
      <c r="CV41" s="219">
        <f t="shared" si="228"/>
        <v>0</v>
      </c>
      <c r="CW41" s="219">
        <f t="shared" si="229"/>
        <v>0</v>
      </c>
      <c r="CX41" s="219">
        <f t="shared" si="230"/>
        <v>0</v>
      </c>
      <c r="CY41" s="219">
        <f t="shared" si="231"/>
        <v>0</v>
      </c>
      <c r="CZ41" s="219">
        <f t="shared" si="232"/>
        <v>0</v>
      </c>
      <c r="DA41" s="219">
        <f t="shared" si="233"/>
        <v>0</v>
      </c>
      <c r="DB41" s="219">
        <f t="shared" si="234"/>
        <v>0</v>
      </c>
      <c r="DC41" s="219">
        <f t="shared" si="235"/>
        <v>0</v>
      </c>
      <c r="DD41" s="219">
        <f t="shared" si="236"/>
        <v>0</v>
      </c>
      <c r="DE41" s="326"/>
      <c r="DF41" s="220">
        <f t="shared" si="237"/>
        <v>0</v>
      </c>
      <c r="DG41" s="221">
        <f t="shared" si="238"/>
        <v>0</v>
      </c>
      <c r="DH41" s="221">
        <f t="shared" si="239"/>
        <v>0</v>
      </c>
      <c r="DI41" s="221">
        <f t="shared" si="240"/>
        <v>0</v>
      </c>
      <c r="DJ41" s="221">
        <f t="shared" si="241"/>
        <v>0</v>
      </c>
      <c r="DK41" s="221">
        <f t="shared" si="242"/>
        <v>0</v>
      </c>
      <c r="DL41" s="221">
        <f t="shared" si="243"/>
        <v>0</v>
      </c>
      <c r="DM41" s="221">
        <f t="shared" si="244"/>
        <v>0</v>
      </c>
      <c r="DN41" s="221">
        <f t="shared" si="245"/>
        <v>0</v>
      </c>
      <c r="DO41" s="222">
        <f t="shared" si="246"/>
        <v>0</v>
      </c>
      <c r="DP41" s="326" t="s">
        <v>327</v>
      </c>
      <c r="DQ41" s="218">
        <f t="shared" si="30"/>
        <v>550000</v>
      </c>
      <c r="DR41" s="219">
        <f t="shared" si="100"/>
        <v>550000</v>
      </c>
      <c r="DS41" s="219">
        <f t="shared" si="101"/>
        <v>0</v>
      </c>
      <c r="DT41" s="219">
        <f t="shared" si="102"/>
        <v>0</v>
      </c>
      <c r="DU41" s="219">
        <f t="shared" si="103"/>
        <v>0</v>
      </c>
      <c r="DV41" s="219">
        <f t="shared" si="104"/>
        <v>0</v>
      </c>
      <c r="DW41" s="219">
        <f t="shared" si="105"/>
        <v>0</v>
      </c>
      <c r="DX41" s="219">
        <f t="shared" si="106"/>
        <v>0</v>
      </c>
      <c r="DY41" s="219">
        <f t="shared" si="107"/>
        <v>0</v>
      </c>
      <c r="DZ41" s="219">
        <f t="shared" si="108"/>
        <v>0</v>
      </c>
      <c r="EA41" s="219">
        <f t="shared" si="40"/>
        <v>0</v>
      </c>
      <c r="EB41" s="219">
        <f t="shared" si="109"/>
        <v>0</v>
      </c>
      <c r="EC41" s="326"/>
      <c r="ED41" s="220">
        <f t="shared" si="42"/>
        <v>0</v>
      </c>
      <c r="EE41" s="221">
        <f t="shared" si="128"/>
        <v>0</v>
      </c>
      <c r="EF41" s="221">
        <f t="shared" si="129"/>
        <v>0</v>
      </c>
      <c r="EG41" s="221">
        <f t="shared" si="130"/>
        <v>0</v>
      </c>
      <c r="EH41" s="221">
        <f t="shared" si="131"/>
        <v>0</v>
      </c>
      <c r="EI41" s="221">
        <f t="shared" si="132"/>
        <v>0</v>
      </c>
      <c r="EJ41" s="221">
        <f t="shared" si="133"/>
        <v>0</v>
      </c>
      <c r="EK41" s="221">
        <f t="shared" si="134"/>
        <v>0</v>
      </c>
      <c r="EL41" s="221">
        <f t="shared" si="135"/>
        <v>0</v>
      </c>
      <c r="EM41" s="222">
        <f t="shared" si="136"/>
        <v>0</v>
      </c>
      <c r="EN41" s="326" t="s">
        <v>327</v>
      </c>
      <c r="EO41" s="218">
        <f t="shared" si="43"/>
        <v>0</v>
      </c>
      <c r="EP41" s="219">
        <f t="shared" si="110"/>
        <v>0</v>
      </c>
      <c r="EQ41" s="219">
        <f t="shared" si="111"/>
        <v>0</v>
      </c>
      <c r="ER41" s="219">
        <f t="shared" si="112"/>
        <v>0</v>
      </c>
      <c r="ES41" s="219">
        <f t="shared" si="113"/>
        <v>0</v>
      </c>
      <c r="ET41" s="219">
        <f t="shared" si="114"/>
        <v>0</v>
      </c>
      <c r="EU41" s="219">
        <f t="shared" si="115"/>
        <v>0</v>
      </c>
      <c r="EV41" s="219">
        <f t="shared" si="116"/>
        <v>0</v>
      </c>
      <c r="EW41" s="219">
        <f t="shared" si="117"/>
        <v>0</v>
      </c>
      <c r="EX41" s="219">
        <f t="shared" si="118"/>
        <v>0</v>
      </c>
      <c r="EY41" s="219">
        <f t="shared" si="53"/>
        <v>0</v>
      </c>
      <c r="EZ41" s="219">
        <f t="shared" si="119"/>
        <v>0</v>
      </c>
      <c r="FA41" s="326"/>
      <c r="FB41" s="220">
        <f t="shared" si="55"/>
        <v>0</v>
      </c>
      <c r="FC41" s="221">
        <f t="shared" si="137"/>
        <v>0</v>
      </c>
      <c r="FD41" s="221">
        <f t="shared" si="138"/>
        <v>0</v>
      </c>
      <c r="FE41" s="221">
        <f t="shared" si="139"/>
        <v>0</v>
      </c>
      <c r="FF41" s="221">
        <f t="shared" si="140"/>
        <v>0</v>
      </c>
      <c r="FG41" s="221">
        <f t="shared" si="141"/>
        <v>0</v>
      </c>
      <c r="FH41" s="221">
        <f t="shared" si="142"/>
        <v>0</v>
      </c>
      <c r="FI41" s="221">
        <f t="shared" si="143"/>
        <v>0</v>
      </c>
      <c r="FJ41" s="221">
        <f t="shared" si="144"/>
        <v>0</v>
      </c>
      <c r="FK41" s="222">
        <f t="shared" si="145"/>
        <v>0</v>
      </c>
    </row>
    <row r="42" spans="1:167" s="6" customFormat="1">
      <c r="A42" s="186" t="s">
        <v>164</v>
      </c>
      <c r="B42" s="186" t="s">
        <v>200</v>
      </c>
      <c r="C42" s="187" t="s">
        <v>133</v>
      </c>
      <c r="D42" s="188">
        <f t="shared" si="56"/>
        <v>37</v>
      </c>
      <c r="E42" s="327" t="s">
        <v>327</v>
      </c>
      <c r="F42" s="154"/>
      <c r="G42" s="154"/>
      <c r="H42" s="154"/>
      <c r="I42" s="154">
        <v>7000000</v>
      </c>
      <c r="J42" s="154"/>
      <c r="K42" s="154"/>
      <c r="L42" s="481" t="s">
        <v>843</v>
      </c>
      <c r="M42" s="518" t="s">
        <v>907</v>
      </c>
      <c r="N42" s="327" t="s">
        <v>327</v>
      </c>
      <c r="O42" s="432"/>
      <c r="P42" s="191"/>
      <c r="Q42" s="191"/>
      <c r="R42" s="154"/>
      <c r="S42" s="189"/>
      <c r="T42" s="189"/>
      <c r="U42" s="189"/>
      <c r="V42" s="189"/>
      <c r="W42" s="326" t="s">
        <v>327</v>
      </c>
      <c r="X42" s="435">
        <v>0</v>
      </c>
      <c r="Y42" s="189">
        <v>0</v>
      </c>
      <c r="Z42" s="189">
        <v>0</v>
      </c>
      <c r="AA42" s="189">
        <v>0</v>
      </c>
      <c r="AB42" s="189">
        <v>7000000</v>
      </c>
      <c r="AC42" s="189">
        <v>0</v>
      </c>
      <c r="AD42" s="189">
        <v>7000000</v>
      </c>
      <c r="AE42" s="189" t="s">
        <v>249</v>
      </c>
      <c r="AF42" s="437" t="s">
        <v>250</v>
      </c>
      <c r="AG42" s="326" t="s">
        <v>327</v>
      </c>
      <c r="AH42" s="435"/>
      <c r="AI42" s="189"/>
      <c r="AJ42" s="189"/>
      <c r="AK42" s="189">
        <f t="shared" si="219"/>
        <v>7000000</v>
      </c>
      <c r="AL42" s="189"/>
      <c r="AM42" s="189"/>
      <c r="AN42" s="189">
        <f t="shared" si="0"/>
        <v>7000000</v>
      </c>
      <c r="AO42" s="189" t="str">
        <f t="shared" si="247"/>
        <v>DOE estimate</v>
      </c>
      <c r="AP42" s="437" t="str">
        <f t="shared" si="248"/>
        <v>Unverified</v>
      </c>
      <c r="AQ42" s="326" t="s">
        <v>327</v>
      </c>
      <c r="AR42" s="439" t="s">
        <v>775</v>
      </c>
      <c r="AS42" s="511">
        <v>0</v>
      </c>
      <c r="AT42" s="193"/>
      <c r="AU42" s="197"/>
      <c r="AV42" s="326" t="s">
        <v>327</v>
      </c>
      <c r="AW42" s="445">
        <v>0.05</v>
      </c>
      <c r="AX42" s="196">
        <v>1</v>
      </c>
      <c r="AY42" s="192" t="s">
        <v>249</v>
      </c>
      <c r="AZ42" s="193"/>
      <c r="BA42" s="193">
        <v>12</v>
      </c>
      <c r="BB42" s="193">
        <v>6</v>
      </c>
      <c r="BC42" s="193" t="s">
        <v>249</v>
      </c>
      <c r="BD42" s="193"/>
      <c r="BE42" s="193"/>
      <c r="BF42" s="197"/>
      <c r="BG42" s="326" t="s">
        <v>327</v>
      </c>
      <c r="BH42" s="445">
        <v>0.3</v>
      </c>
      <c r="BI42" s="196">
        <v>1</v>
      </c>
      <c r="BJ42" s="193" t="s">
        <v>249</v>
      </c>
      <c r="BK42" s="193"/>
      <c r="BL42" s="193">
        <v>9.6</v>
      </c>
      <c r="BM42" s="193">
        <f>BL42*800/1000</f>
        <v>7.68</v>
      </c>
      <c r="BN42" s="193" t="s">
        <v>332</v>
      </c>
      <c r="BO42" s="193"/>
      <c r="BP42" s="193"/>
      <c r="BQ42" s="197"/>
      <c r="BR42" s="326" t="s">
        <v>327</v>
      </c>
      <c r="BS42" s="452">
        <v>0</v>
      </c>
      <c r="BT42" s="198">
        <v>0</v>
      </c>
      <c r="BU42" s="198">
        <v>0</v>
      </c>
      <c r="BV42" s="198">
        <v>0</v>
      </c>
      <c r="BW42" s="198">
        <v>0</v>
      </c>
      <c r="BX42" s="198">
        <v>0</v>
      </c>
      <c r="BY42" s="198">
        <v>0</v>
      </c>
      <c r="BZ42" s="198">
        <v>0</v>
      </c>
      <c r="CA42" s="198">
        <v>0</v>
      </c>
      <c r="CB42" s="198">
        <v>0</v>
      </c>
      <c r="CC42" s="198">
        <v>0</v>
      </c>
      <c r="CD42" s="199">
        <v>1</v>
      </c>
      <c r="CE42" s="197" t="s">
        <v>333</v>
      </c>
      <c r="CF42" s="326" t="s">
        <v>327</v>
      </c>
      <c r="CG42" s="379">
        <v>0</v>
      </c>
      <c r="CH42" s="380">
        <v>0</v>
      </c>
      <c r="CI42" s="380">
        <v>1</v>
      </c>
      <c r="CJ42" s="380">
        <v>0</v>
      </c>
      <c r="CK42" s="380">
        <v>0</v>
      </c>
      <c r="CL42" s="380">
        <v>0</v>
      </c>
      <c r="CM42" s="380">
        <v>0</v>
      </c>
      <c r="CN42" s="380">
        <v>0</v>
      </c>
      <c r="CO42" s="380">
        <v>0</v>
      </c>
      <c r="CP42" s="386">
        <v>0</v>
      </c>
      <c r="CQ42" s="197" t="s">
        <v>333</v>
      </c>
      <c r="CR42" s="326" t="s">
        <v>327</v>
      </c>
      <c r="CS42" s="200">
        <f t="shared" si="225"/>
        <v>0</v>
      </c>
      <c r="CT42" s="154">
        <f t="shared" si="226"/>
        <v>0</v>
      </c>
      <c r="CU42" s="154">
        <f t="shared" si="227"/>
        <v>0</v>
      </c>
      <c r="CV42" s="154">
        <f t="shared" si="228"/>
        <v>0</v>
      </c>
      <c r="CW42" s="154">
        <f t="shared" si="229"/>
        <v>0</v>
      </c>
      <c r="CX42" s="154">
        <f t="shared" si="230"/>
        <v>0</v>
      </c>
      <c r="CY42" s="154">
        <f t="shared" si="231"/>
        <v>0</v>
      </c>
      <c r="CZ42" s="154">
        <f t="shared" si="232"/>
        <v>0</v>
      </c>
      <c r="DA42" s="154">
        <f t="shared" si="233"/>
        <v>0</v>
      </c>
      <c r="DB42" s="154">
        <f t="shared" si="234"/>
        <v>0</v>
      </c>
      <c r="DC42" s="154">
        <f t="shared" si="235"/>
        <v>0</v>
      </c>
      <c r="DD42" s="154">
        <f t="shared" si="236"/>
        <v>350000</v>
      </c>
      <c r="DE42" s="326"/>
      <c r="DF42" s="201">
        <f t="shared" si="237"/>
        <v>0</v>
      </c>
      <c r="DG42" s="202">
        <f t="shared" si="238"/>
        <v>0</v>
      </c>
      <c r="DH42" s="202">
        <f t="shared" si="239"/>
        <v>2100000</v>
      </c>
      <c r="DI42" s="202">
        <f t="shared" si="240"/>
        <v>0</v>
      </c>
      <c r="DJ42" s="202">
        <f t="shared" si="241"/>
        <v>0</v>
      </c>
      <c r="DK42" s="202">
        <f t="shared" si="242"/>
        <v>0</v>
      </c>
      <c r="DL42" s="202">
        <f t="shared" si="243"/>
        <v>0</v>
      </c>
      <c r="DM42" s="202">
        <f t="shared" si="244"/>
        <v>0</v>
      </c>
      <c r="DN42" s="202">
        <f t="shared" si="245"/>
        <v>0</v>
      </c>
      <c r="DO42" s="203">
        <f t="shared" si="246"/>
        <v>0</v>
      </c>
      <c r="DP42" s="326" t="s">
        <v>327</v>
      </c>
      <c r="DQ42" s="200">
        <f t="shared" si="30"/>
        <v>0</v>
      </c>
      <c r="DR42" s="154">
        <f t="shared" si="100"/>
        <v>0</v>
      </c>
      <c r="DS42" s="154">
        <f t="shared" si="101"/>
        <v>0</v>
      </c>
      <c r="DT42" s="154">
        <f t="shared" si="102"/>
        <v>0</v>
      </c>
      <c r="DU42" s="154">
        <f t="shared" si="103"/>
        <v>0</v>
      </c>
      <c r="DV42" s="154">
        <f t="shared" si="104"/>
        <v>0</v>
      </c>
      <c r="DW42" s="154">
        <f t="shared" si="105"/>
        <v>0</v>
      </c>
      <c r="DX42" s="154">
        <f t="shared" si="106"/>
        <v>0</v>
      </c>
      <c r="DY42" s="154">
        <f t="shared" si="107"/>
        <v>0</v>
      </c>
      <c r="DZ42" s="154">
        <f t="shared" si="108"/>
        <v>0</v>
      </c>
      <c r="EA42" s="154">
        <f t="shared" si="40"/>
        <v>0</v>
      </c>
      <c r="EB42" s="154">
        <f t="shared" si="109"/>
        <v>350000</v>
      </c>
      <c r="EC42" s="326"/>
      <c r="ED42" s="201">
        <f t="shared" si="42"/>
        <v>0</v>
      </c>
      <c r="EE42" s="202">
        <f t="shared" si="128"/>
        <v>0</v>
      </c>
      <c r="EF42" s="202">
        <f t="shared" si="129"/>
        <v>2100000</v>
      </c>
      <c r="EG42" s="202">
        <f t="shared" si="130"/>
        <v>0</v>
      </c>
      <c r="EH42" s="202">
        <f t="shared" si="131"/>
        <v>0</v>
      </c>
      <c r="EI42" s="202">
        <f t="shared" si="132"/>
        <v>0</v>
      </c>
      <c r="EJ42" s="202">
        <f t="shared" si="133"/>
        <v>0</v>
      </c>
      <c r="EK42" s="202">
        <f t="shared" si="134"/>
        <v>0</v>
      </c>
      <c r="EL42" s="202">
        <f t="shared" si="135"/>
        <v>0</v>
      </c>
      <c r="EM42" s="203">
        <f t="shared" si="136"/>
        <v>0</v>
      </c>
      <c r="EN42" s="326" t="s">
        <v>327</v>
      </c>
      <c r="EO42" s="200">
        <f t="shared" si="43"/>
        <v>0</v>
      </c>
      <c r="EP42" s="154">
        <f t="shared" si="110"/>
        <v>0</v>
      </c>
      <c r="EQ42" s="154">
        <f t="shared" si="111"/>
        <v>0</v>
      </c>
      <c r="ER42" s="154">
        <f t="shared" si="112"/>
        <v>0</v>
      </c>
      <c r="ES42" s="154">
        <f t="shared" si="113"/>
        <v>0</v>
      </c>
      <c r="ET42" s="154">
        <f t="shared" si="114"/>
        <v>0</v>
      </c>
      <c r="EU42" s="154">
        <f t="shared" si="115"/>
        <v>0</v>
      </c>
      <c r="EV42" s="154">
        <f t="shared" si="116"/>
        <v>0</v>
      </c>
      <c r="EW42" s="154">
        <f t="shared" si="117"/>
        <v>0</v>
      </c>
      <c r="EX42" s="154">
        <f t="shared" si="118"/>
        <v>0</v>
      </c>
      <c r="EY42" s="154">
        <f t="shared" si="53"/>
        <v>0</v>
      </c>
      <c r="EZ42" s="154">
        <f t="shared" si="119"/>
        <v>0</v>
      </c>
      <c r="FA42" s="326"/>
      <c r="FB42" s="201">
        <f t="shared" si="55"/>
        <v>0</v>
      </c>
      <c r="FC42" s="202">
        <f t="shared" si="137"/>
        <v>0</v>
      </c>
      <c r="FD42" s="202">
        <f t="shared" si="138"/>
        <v>0</v>
      </c>
      <c r="FE42" s="202">
        <f t="shared" si="139"/>
        <v>0</v>
      </c>
      <c r="FF42" s="202">
        <f t="shared" si="140"/>
        <v>0</v>
      </c>
      <c r="FG42" s="202">
        <f t="shared" si="141"/>
        <v>0</v>
      </c>
      <c r="FH42" s="202">
        <f t="shared" si="142"/>
        <v>0</v>
      </c>
      <c r="FI42" s="202">
        <f t="shared" si="143"/>
        <v>0</v>
      </c>
      <c r="FJ42" s="202">
        <f t="shared" si="144"/>
        <v>0</v>
      </c>
      <c r="FK42" s="203">
        <f t="shared" si="145"/>
        <v>0</v>
      </c>
    </row>
    <row r="43" spans="1:167" s="6" customFormat="1">
      <c r="A43" s="204" t="s">
        <v>164</v>
      </c>
      <c r="B43" s="204" t="s">
        <v>200</v>
      </c>
      <c r="C43" s="205" t="s">
        <v>226</v>
      </c>
      <c r="D43" s="206">
        <f t="shared" si="56"/>
        <v>38</v>
      </c>
      <c r="E43" s="327" t="s">
        <v>327</v>
      </c>
      <c r="F43" s="219"/>
      <c r="G43" s="219"/>
      <c r="H43" s="219"/>
      <c r="I43" s="219">
        <v>10386000</v>
      </c>
      <c r="J43" s="219"/>
      <c r="K43" s="219"/>
      <c r="L43" s="479" t="s">
        <v>919</v>
      </c>
      <c r="M43" s="480" t="s">
        <v>921</v>
      </c>
      <c r="N43" s="327" t="s">
        <v>327</v>
      </c>
      <c r="O43" s="433"/>
      <c r="P43" s="209"/>
      <c r="Q43" s="209"/>
      <c r="R43" s="209"/>
      <c r="S43" s="207"/>
      <c r="T43" s="207"/>
      <c r="U43" s="211"/>
      <c r="V43" s="215"/>
      <c r="W43" s="326" t="s">
        <v>327</v>
      </c>
      <c r="X43" s="436"/>
      <c r="Y43" s="207"/>
      <c r="Z43" s="207"/>
      <c r="AA43" s="207"/>
      <c r="AB43" s="207"/>
      <c r="AC43" s="207">
        <v>13777000</v>
      </c>
      <c r="AD43" s="207">
        <v>13777000</v>
      </c>
      <c r="AE43" s="207" t="s">
        <v>750</v>
      </c>
      <c r="AF43" s="215" t="s">
        <v>266</v>
      </c>
      <c r="AG43" s="326" t="s">
        <v>327</v>
      </c>
      <c r="AH43" s="436"/>
      <c r="AI43" s="207"/>
      <c r="AJ43" s="207"/>
      <c r="AK43" s="207">
        <f t="shared" si="219"/>
        <v>10386000</v>
      </c>
      <c r="AL43" s="207"/>
      <c r="AM43" s="207"/>
      <c r="AN43" s="207">
        <f t="shared" si="0"/>
        <v>10386000</v>
      </c>
      <c r="AO43" s="207" t="str">
        <f t="shared" si="247"/>
        <v>Comcast 2010a</v>
      </c>
      <c r="AP43" s="215" t="str">
        <f t="shared" si="248"/>
        <v>Divided estimate of global handheld video game shipments (38.9m) by US share of world GDP</v>
      </c>
      <c r="AQ43" s="326" t="s">
        <v>327</v>
      </c>
      <c r="AR43" s="441" t="s">
        <v>775</v>
      </c>
      <c r="AS43" s="512">
        <v>0</v>
      </c>
      <c r="AT43" s="211"/>
      <c r="AU43" s="215"/>
      <c r="AV43" s="326" t="s">
        <v>327</v>
      </c>
      <c r="AW43" s="446">
        <v>0.79</v>
      </c>
      <c r="AX43" s="214">
        <v>1</v>
      </c>
      <c r="AY43" s="211" t="s">
        <v>274</v>
      </c>
      <c r="AZ43" s="211"/>
      <c r="BA43" s="211">
        <v>5</v>
      </c>
      <c r="BB43" s="211">
        <v>2.5</v>
      </c>
      <c r="BC43" s="211" t="s">
        <v>307</v>
      </c>
      <c r="BD43" s="211">
        <v>5</v>
      </c>
      <c r="BE43" s="211">
        <v>7.5</v>
      </c>
      <c r="BF43" s="215" t="s">
        <v>308</v>
      </c>
      <c r="BG43" s="326" t="s">
        <v>327</v>
      </c>
      <c r="BH43" s="446">
        <v>1</v>
      </c>
      <c r="BI43" s="214">
        <v>1</v>
      </c>
      <c r="BJ43" s="211" t="s">
        <v>274</v>
      </c>
      <c r="BK43" s="211"/>
      <c r="BL43" s="211">
        <v>3.7</v>
      </c>
      <c r="BM43" s="211">
        <v>3.7</v>
      </c>
      <c r="BN43" s="211" t="s">
        <v>307</v>
      </c>
      <c r="BO43" s="211">
        <v>3.7</v>
      </c>
      <c r="BP43" s="211">
        <v>4.4400000000000004</v>
      </c>
      <c r="BQ43" s="215" t="s">
        <v>308</v>
      </c>
      <c r="BR43" s="326" t="s">
        <v>327</v>
      </c>
      <c r="BS43" s="453">
        <v>0.79</v>
      </c>
      <c r="BT43" s="216">
        <v>0.79</v>
      </c>
      <c r="BU43" s="216">
        <v>0</v>
      </c>
      <c r="BV43" s="216">
        <v>0</v>
      </c>
      <c r="BW43" s="216">
        <v>0</v>
      </c>
      <c r="BX43" s="216">
        <v>0.21</v>
      </c>
      <c r="BY43" s="216">
        <v>0</v>
      </c>
      <c r="BZ43" s="216">
        <v>0</v>
      </c>
      <c r="CA43" s="216">
        <v>0</v>
      </c>
      <c r="CB43" s="216">
        <v>0</v>
      </c>
      <c r="CC43" s="216">
        <v>0</v>
      </c>
      <c r="CD43" s="217">
        <v>0</v>
      </c>
      <c r="CE43" s="215" t="s">
        <v>440</v>
      </c>
      <c r="CF43" s="326" t="s">
        <v>327</v>
      </c>
      <c r="CG43" s="377">
        <v>0</v>
      </c>
      <c r="CH43" s="378">
        <v>1</v>
      </c>
      <c r="CI43" s="378">
        <v>0</v>
      </c>
      <c r="CJ43" s="378">
        <v>0</v>
      </c>
      <c r="CK43" s="378">
        <v>0</v>
      </c>
      <c r="CL43" s="378">
        <v>0</v>
      </c>
      <c r="CM43" s="378">
        <v>0</v>
      </c>
      <c r="CN43" s="378">
        <v>0</v>
      </c>
      <c r="CO43" s="378">
        <v>0</v>
      </c>
      <c r="CP43" s="385">
        <v>0</v>
      </c>
      <c r="CQ43" s="215" t="s">
        <v>440</v>
      </c>
      <c r="CR43" s="326" t="s">
        <v>327</v>
      </c>
      <c r="CS43" s="218">
        <f t="shared" si="225"/>
        <v>6481902.6000000006</v>
      </c>
      <c r="CT43" s="219">
        <f t="shared" si="226"/>
        <v>6481902.6000000006</v>
      </c>
      <c r="CU43" s="219">
        <f t="shared" si="227"/>
        <v>0</v>
      </c>
      <c r="CV43" s="219">
        <f t="shared" si="228"/>
        <v>0</v>
      </c>
      <c r="CW43" s="219">
        <f t="shared" si="229"/>
        <v>0</v>
      </c>
      <c r="CX43" s="219">
        <f t="shared" si="230"/>
        <v>1723037.4</v>
      </c>
      <c r="CY43" s="219">
        <f t="shared" si="231"/>
        <v>0</v>
      </c>
      <c r="CZ43" s="219">
        <f t="shared" si="232"/>
        <v>0</v>
      </c>
      <c r="DA43" s="219">
        <f t="shared" si="233"/>
        <v>0</v>
      </c>
      <c r="DB43" s="219">
        <f t="shared" si="234"/>
        <v>0</v>
      </c>
      <c r="DC43" s="219">
        <f t="shared" si="235"/>
        <v>0</v>
      </c>
      <c r="DD43" s="219">
        <f t="shared" si="236"/>
        <v>0</v>
      </c>
      <c r="DE43" s="326"/>
      <c r="DF43" s="220">
        <f t="shared" si="237"/>
        <v>0</v>
      </c>
      <c r="DG43" s="221">
        <f t="shared" si="238"/>
        <v>10386000</v>
      </c>
      <c r="DH43" s="221">
        <f t="shared" si="239"/>
        <v>0</v>
      </c>
      <c r="DI43" s="221">
        <f t="shared" si="240"/>
        <v>0</v>
      </c>
      <c r="DJ43" s="221">
        <f t="shared" si="241"/>
        <v>0</v>
      </c>
      <c r="DK43" s="221">
        <f t="shared" si="242"/>
        <v>0</v>
      </c>
      <c r="DL43" s="221">
        <f t="shared" si="243"/>
        <v>0</v>
      </c>
      <c r="DM43" s="221">
        <f t="shared" si="244"/>
        <v>0</v>
      </c>
      <c r="DN43" s="221">
        <f t="shared" si="245"/>
        <v>0</v>
      </c>
      <c r="DO43" s="222">
        <f t="shared" si="246"/>
        <v>0</v>
      </c>
      <c r="DP43" s="326" t="s">
        <v>327</v>
      </c>
      <c r="DQ43" s="218">
        <f t="shared" si="30"/>
        <v>6481902.6000000006</v>
      </c>
      <c r="DR43" s="219">
        <f t="shared" si="100"/>
        <v>6481902.6000000006</v>
      </c>
      <c r="DS43" s="219">
        <f t="shared" si="101"/>
        <v>0</v>
      </c>
      <c r="DT43" s="219">
        <f t="shared" si="102"/>
        <v>0</v>
      </c>
      <c r="DU43" s="219">
        <f t="shared" si="103"/>
        <v>0</v>
      </c>
      <c r="DV43" s="219">
        <f t="shared" si="104"/>
        <v>1723037.4</v>
      </c>
      <c r="DW43" s="219">
        <f t="shared" si="105"/>
        <v>0</v>
      </c>
      <c r="DX43" s="219">
        <f t="shared" si="106"/>
        <v>0</v>
      </c>
      <c r="DY43" s="219">
        <f t="shared" si="107"/>
        <v>0</v>
      </c>
      <c r="DZ43" s="219">
        <f t="shared" si="108"/>
        <v>0</v>
      </c>
      <c r="EA43" s="219">
        <f t="shared" si="40"/>
        <v>0</v>
      </c>
      <c r="EB43" s="219">
        <f t="shared" si="109"/>
        <v>0</v>
      </c>
      <c r="EC43" s="326"/>
      <c r="ED43" s="220">
        <f t="shared" si="42"/>
        <v>0</v>
      </c>
      <c r="EE43" s="221">
        <f t="shared" si="128"/>
        <v>10386000</v>
      </c>
      <c r="EF43" s="221">
        <f t="shared" si="129"/>
        <v>0</v>
      </c>
      <c r="EG43" s="221">
        <f t="shared" si="130"/>
        <v>0</v>
      </c>
      <c r="EH43" s="221">
        <f t="shared" si="131"/>
        <v>0</v>
      </c>
      <c r="EI43" s="221">
        <f t="shared" si="132"/>
        <v>0</v>
      </c>
      <c r="EJ43" s="221">
        <f t="shared" si="133"/>
        <v>0</v>
      </c>
      <c r="EK43" s="221">
        <f t="shared" si="134"/>
        <v>0</v>
      </c>
      <c r="EL43" s="221">
        <f t="shared" si="135"/>
        <v>0</v>
      </c>
      <c r="EM43" s="222">
        <f t="shared" si="136"/>
        <v>0</v>
      </c>
      <c r="EN43" s="326" t="s">
        <v>327</v>
      </c>
      <c r="EO43" s="218">
        <f t="shared" si="43"/>
        <v>0</v>
      </c>
      <c r="EP43" s="219">
        <f t="shared" si="110"/>
        <v>0</v>
      </c>
      <c r="EQ43" s="219">
        <f t="shared" si="111"/>
        <v>0</v>
      </c>
      <c r="ER43" s="219">
        <f t="shared" si="112"/>
        <v>0</v>
      </c>
      <c r="ES43" s="219">
        <f t="shared" si="113"/>
        <v>0</v>
      </c>
      <c r="ET43" s="219">
        <f t="shared" si="114"/>
        <v>0</v>
      </c>
      <c r="EU43" s="219">
        <f t="shared" si="115"/>
        <v>0</v>
      </c>
      <c r="EV43" s="219">
        <f t="shared" si="116"/>
        <v>0</v>
      </c>
      <c r="EW43" s="219">
        <f t="shared" si="117"/>
        <v>0</v>
      </c>
      <c r="EX43" s="219">
        <f t="shared" si="118"/>
        <v>0</v>
      </c>
      <c r="EY43" s="219">
        <f t="shared" si="53"/>
        <v>0</v>
      </c>
      <c r="EZ43" s="219">
        <f t="shared" si="119"/>
        <v>0</v>
      </c>
      <c r="FA43" s="326"/>
      <c r="FB43" s="220">
        <f t="shared" si="55"/>
        <v>0</v>
      </c>
      <c r="FC43" s="221">
        <f t="shared" si="137"/>
        <v>0</v>
      </c>
      <c r="FD43" s="221">
        <f t="shared" si="138"/>
        <v>0</v>
      </c>
      <c r="FE43" s="221">
        <f t="shared" si="139"/>
        <v>0</v>
      </c>
      <c r="FF43" s="221">
        <f t="shared" si="140"/>
        <v>0</v>
      </c>
      <c r="FG43" s="221">
        <f t="shared" si="141"/>
        <v>0</v>
      </c>
      <c r="FH43" s="221">
        <f t="shared" si="142"/>
        <v>0</v>
      </c>
      <c r="FI43" s="221">
        <f t="shared" si="143"/>
        <v>0</v>
      </c>
      <c r="FJ43" s="221">
        <f t="shared" si="144"/>
        <v>0</v>
      </c>
      <c r="FK43" s="222">
        <f t="shared" si="145"/>
        <v>0</v>
      </c>
    </row>
    <row r="44" spans="1:167" s="6" customFormat="1">
      <c r="A44" s="186" t="s">
        <v>164</v>
      </c>
      <c r="B44" s="186" t="s">
        <v>200</v>
      </c>
      <c r="C44" s="187" t="s">
        <v>197</v>
      </c>
      <c r="D44" s="188">
        <f t="shared" si="56"/>
        <v>39</v>
      </c>
      <c r="E44" s="327" t="s">
        <v>327</v>
      </c>
      <c r="F44" s="154"/>
      <c r="G44" s="154">
        <v>26750800</v>
      </c>
      <c r="H44" s="154">
        <v>31016600</v>
      </c>
      <c r="I44" s="154">
        <v>23693000</v>
      </c>
      <c r="J44" s="154"/>
      <c r="K44" s="154"/>
      <c r="L44" s="481" t="s">
        <v>895</v>
      </c>
      <c r="M44" s="478" t="s">
        <v>802</v>
      </c>
      <c r="N44" s="327" t="s">
        <v>327</v>
      </c>
      <c r="O44" s="200"/>
      <c r="P44" s="154"/>
      <c r="Q44" s="154"/>
      <c r="R44" s="154"/>
      <c r="S44" s="154"/>
      <c r="T44" s="154"/>
      <c r="U44" s="481"/>
      <c r="V44" s="478"/>
      <c r="W44" s="326" t="s">
        <v>327</v>
      </c>
      <c r="X44" s="435">
        <v>0</v>
      </c>
      <c r="Y44" s="189">
        <v>0</v>
      </c>
      <c r="Z44" s="189">
        <v>0</v>
      </c>
      <c r="AA44" s="189">
        <v>0</v>
      </c>
      <c r="AB44" s="189">
        <v>13512000</v>
      </c>
      <c r="AC44" s="189">
        <v>13512000</v>
      </c>
      <c r="AD44" s="189">
        <v>13512000</v>
      </c>
      <c r="AE44" s="189" t="s">
        <v>750</v>
      </c>
      <c r="AF44" s="197" t="s">
        <v>266</v>
      </c>
      <c r="AG44" s="326" t="s">
        <v>327</v>
      </c>
      <c r="AH44" s="435"/>
      <c r="AI44" s="189">
        <f t="shared" ref="AI44" si="249">G44</f>
        <v>26750800</v>
      </c>
      <c r="AJ44" s="189">
        <f t="shared" ref="AJ44" si="250">H44</f>
        <v>31016600</v>
      </c>
      <c r="AK44" s="189">
        <f t="shared" ref="AK44" si="251">I44</f>
        <v>23693000</v>
      </c>
      <c r="AL44" s="189"/>
      <c r="AM44" s="189"/>
      <c r="AN44" s="189">
        <f t="shared" si="0"/>
        <v>23693000</v>
      </c>
      <c r="AO44" s="189" t="str">
        <f t="shared" ref="AO44" si="252">L44</f>
        <v>CEA 2010</v>
      </c>
      <c r="AP44" s="197" t="str">
        <f t="shared" ref="AP44" si="253">M44</f>
        <v>Derived from annual sales dollars and market-share-weighted-average console price</v>
      </c>
      <c r="AQ44" s="326" t="s">
        <v>327</v>
      </c>
      <c r="AR44" s="439" t="s">
        <v>775</v>
      </c>
      <c r="AS44" s="511">
        <v>0</v>
      </c>
      <c r="AT44" s="193"/>
      <c r="AU44" s="197"/>
      <c r="AV44" s="326" t="s">
        <v>327</v>
      </c>
      <c r="AW44" s="445">
        <v>0.81</v>
      </c>
      <c r="AX44" s="196">
        <v>1</v>
      </c>
      <c r="AY44" s="193" t="s">
        <v>803</v>
      </c>
      <c r="AZ44" s="193" t="s">
        <v>804</v>
      </c>
      <c r="BA44" s="193">
        <v>12</v>
      </c>
      <c r="BB44" s="193">
        <v>44.4</v>
      </c>
      <c r="BC44" s="193" t="s">
        <v>306</v>
      </c>
      <c r="BD44" s="193" t="s">
        <v>806</v>
      </c>
      <c r="BE44" s="193"/>
      <c r="BF44" s="197" t="s">
        <v>805</v>
      </c>
      <c r="BG44" s="326" t="s">
        <v>327</v>
      </c>
      <c r="BH44" s="445">
        <v>0.19</v>
      </c>
      <c r="BI44" s="196">
        <v>1</v>
      </c>
      <c r="BJ44" s="193" t="s">
        <v>803</v>
      </c>
      <c r="BK44" s="193" t="s">
        <v>809</v>
      </c>
      <c r="BL44" s="193">
        <v>3.7</v>
      </c>
      <c r="BM44" s="193">
        <v>2.2599999999999998</v>
      </c>
      <c r="BN44" s="193" t="s">
        <v>294</v>
      </c>
      <c r="BO44" s="193"/>
      <c r="BP44" s="193"/>
      <c r="BQ44" s="197"/>
      <c r="BR44" s="326" t="s">
        <v>327</v>
      </c>
      <c r="BS44" s="452">
        <v>0.6</v>
      </c>
      <c r="BT44" s="198">
        <v>0</v>
      </c>
      <c r="BU44" s="198">
        <v>0</v>
      </c>
      <c r="BV44" s="198">
        <v>0.6</v>
      </c>
      <c r="BW44" s="198">
        <v>0</v>
      </c>
      <c r="BX44" s="198">
        <v>0</v>
      </c>
      <c r="BY44" s="198">
        <v>0</v>
      </c>
      <c r="BZ44" s="198">
        <v>0</v>
      </c>
      <c r="CA44" s="198">
        <v>0.4</v>
      </c>
      <c r="CB44" s="198">
        <v>0</v>
      </c>
      <c r="CC44" s="198">
        <v>0</v>
      </c>
      <c r="CD44" s="199">
        <v>0</v>
      </c>
      <c r="CE44" s="197" t="s">
        <v>803</v>
      </c>
      <c r="CF44" s="326" t="s">
        <v>327</v>
      </c>
      <c r="CG44" s="379">
        <v>0</v>
      </c>
      <c r="CH44" s="380">
        <v>1</v>
      </c>
      <c r="CI44" s="380">
        <v>0</v>
      </c>
      <c r="CJ44" s="380">
        <v>0</v>
      </c>
      <c r="CK44" s="380">
        <v>0</v>
      </c>
      <c r="CL44" s="380">
        <v>0</v>
      </c>
      <c r="CM44" s="380">
        <v>0</v>
      </c>
      <c r="CN44" s="380">
        <v>0</v>
      </c>
      <c r="CO44" s="380">
        <v>0</v>
      </c>
      <c r="CP44" s="386">
        <v>0</v>
      </c>
      <c r="CQ44" s="197" t="s">
        <v>272</v>
      </c>
      <c r="CR44" s="326" t="s">
        <v>327</v>
      </c>
      <c r="CS44" s="200">
        <f t="shared" si="225"/>
        <v>11514798</v>
      </c>
      <c r="CT44" s="154">
        <f t="shared" si="226"/>
        <v>0</v>
      </c>
      <c r="CU44" s="154">
        <f t="shared" si="227"/>
        <v>0</v>
      </c>
      <c r="CV44" s="154">
        <f t="shared" si="228"/>
        <v>11514798</v>
      </c>
      <c r="CW44" s="154">
        <f t="shared" si="229"/>
        <v>0</v>
      </c>
      <c r="CX44" s="154">
        <f t="shared" si="230"/>
        <v>0</v>
      </c>
      <c r="CY44" s="154">
        <f t="shared" si="231"/>
        <v>0</v>
      </c>
      <c r="CZ44" s="154">
        <f t="shared" si="232"/>
        <v>0</v>
      </c>
      <c r="DA44" s="154">
        <f t="shared" si="233"/>
        <v>7676532</v>
      </c>
      <c r="DB44" s="154">
        <f t="shared" si="234"/>
        <v>0</v>
      </c>
      <c r="DC44" s="154">
        <f t="shared" si="235"/>
        <v>0</v>
      </c>
      <c r="DD44" s="154">
        <f t="shared" si="236"/>
        <v>0</v>
      </c>
      <c r="DE44" s="326"/>
      <c r="DF44" s="201">
        <f t="shared" si="237"/>
        <v>0</v>
      </c>
      <c r="DG44" s="202">
        <f t="shared" si="238"/>
        <v>4501670</v>
      </c>
      <c r="DH44" s="202">
        <f t="shared" si="239"/>
        <v>0</v>
      </c>
      <c r="DI44" s="202">
        <f t="shared" si="240"/>
        <v>0</v>
      </c>
      <c r="DJ44" s="202">
        <f t="shared" si="241"/>
        <v>0</v>
      </c>
      <c r="DK44" s="202">
        <f t="shared" si="242"/>
        <v>0</v>
      </c>
      <c r="DL44" s="202">
        <f t="shared" si="243"/>
        <v>0</v>
      </c>
      <c r="DM44" s="202">
        <f t="shared" si="244"/>
        <v>0</v>
      </c>
      <c r="DN44" s="202">
        <f t="shared" si="245"/>
        <v>0</v>
      </c>
      <c r="DO44" s="203">
        <f t="shared" si="246"/>
        <v>0</v>
      </c>
      <c r="DP44" s="326" t="s">
        <v>327</v>
      </c>
      <c r="DQ44" s="200">
        <f t="shared" si="30"/>
        <v>11514798</v>
      </c>
      <c r="DR44" s="154">
        <f t="shared" si="100"/>
        <v>0</v>
      </c>
      <c r="DS44" s="154">
        <f t="shared" si="101"/>
        <v>0</v>
      </c>
      <c r="DT44" s="154">
        <f t="shared" si="102"/>
        <v>11514798</v>
      </c>
      <c r="DU44" s="154">
        <f t="shared" si="103"/>
        <v>0</v>
      </c>
      <c r="DV44" s="154">
        <f t="shared" si="104"/>
        <v>0</v>
      </c>
      <c r="DW44" s="154">
        <f t="shared" si="105"/>
        <v>0</v>
      </c>
      <c r="DX44" s="154">
        <f t="shared" si="106"/>
        <v>0</v>
      </c>
      <c r="DY44" s="154">
        <f t="shared" si="107"/>
        <v>7676532</v>
      </c>
      <c r="DZ44" s="154">
        <f t="shared" si="108"/>
        <v>0</v>
      </c>
      <c r="EA44" s="154">
        <f t="shared" si="40"/>
        <v>0</v>
      </c>
      <c r="EB44" s="154">
        <f t="shared" si="109"/>
        <v>0</v>
      </c>
      <c r="EC44" s="326"/>
      <c r="ED44" s="201">
        <f t="shared" si="42"/>
        <v>0</v>
      </c>
      <c r="EE44" s="202">
        <f t="shared" si="128"/>
        <v>4501670</v>
      </c>
      <c r="EF44" s="202">
        <f t="shared" si="129"/>
        <v>0</v>
      </c>
      <c r="EG44" s="202">
        <f t="shared" si="130"/>
        <v>0</v>
      </c>
      <c r="EH44" s="202">
        <f t="shared" si="131"/>
        <v>0</v>
      </c>
      <c r="EI44" s="202">
        <f t="shared" si="132"/>
        <v>0</v>
      </c>
      <c r="EJ44" s="202">
        <f t="shared" si="133"/>
        <v>0</v>
      </c>
      <c r="EK44" s="202">
        <f t="shared" si="134"/>
        <v>0</v>
      </c>
      <c r="EL44" s="202">
        <f t="shared" si="135"/>
        <v>0</v>
      </c>
      <c r="EM44" s="203">
        <f t="shared" si="136"/>
        <v>0</v>
      </c>
      <c r="EN44" s="326" t="s">
        <v>327</v>
      </c>
      <c r="EO44" s="200">
        <f t="shared" si="43"/>
        <v>0</v>
      </c>
      <c r="EP44" s="154">
        <f t="shared" si="110"/>
        <v>0</v>
      </c>
      <c r="EQ44" s="154">
        <f t="shared" si="111"/>
        <v>0</v>
      </c>
      <c r="ER44" s="154">
        <f t="shared" si="112"/>
        <v>0</v>
      </c>
      <c r="ES44" s="154">
        <f t="shared" si="113"/>
        <v>0</v>
      </c>
      <c r="ET44" s="154">
        <f t="shared" si="114"/>
        <v>0</v>
      </c>
      <c r="EU44" s="154">
        <f t="shared" si="115"/>
        <v>0</v>
      </c>
      <c r="EV44" s="154">
        <f t="shared" si="116"/>
        <v>0</v>
      </c>
      <c r="EW44" s="154">
        <f t="shared" si="117"/>
        <v>0</v>
      </c>
      <c r="EX44" s="154">
        <f t="shared" si="118"/>
        <v>0</v>
      </c>
      <c r="EY44" s="154">
        <f t="shared" si="53"/>
        <v>0</v>
      </c>
      <c r="EZ44" s="154">
        <f t="shared" si="119"/>
        <v>0</v>
      </c>
      <c r="FA44" s="326"/>
      <c r="FB44" s="201">
        <f t="shared" si="55"/>
        <v>0</v>
      </c>
      <c r="FC44" s="202">
        <f t="shared" si="137"/>
        <v>0</v>
      </c>
      <c r="FD44" s="202">
        <f t="shared" si="138"/>
        <v>0</v>
      </c>
      <c r="FE44" s="202">
        <f t="shared" si="139"/>
        <v>0</v>
      </c>
      <c r="FF44" s="202">
        <f t="shared" si="140"/>
        <v>0</v>
      </c>
      <c r="FG44" s="202">
        <f t="shared" si="141"/>
        <v>0</v>
      </c>
      <c r="FH44" s="202">
        <f t="shared" si="142"/>
        <v>0</v>
      </c>
      <c r="FI44" s="202">
        <f t="shared" si="143"/>
        <v>0</v>
      </c>
      <c r="FJ44" s="202">
        <f t="shared" si="144"/>
        <v>0</v>
      </c>
      <c r="FK44" s="203">
        <f t="shared" si="145"/>
        <v>0</v>
      </c>
    </row>
    <row r="45" spans="1:167" s="6" customFormat="1">
      <c r="A45" s="204" t="s">
        <v>164</v>
      </c>
      <c r="B45" s="204" t="s">
        <v>165</v>
      </c>
      <c r="C45" s="205" t="s">
        <v>126</v>
      </c>
      <c r="D45" s="206">
        <f t="shared" si="56"/>
        <v>40</v>
      </c>
      <c r="E45" s="327" t="s">
        <v>327</v>
      </c>
      <c r="F45" s="219">
        <v>3928000</v>
      </c>
      <c r="G45" s="219">
        <v>3910000</v>
      </c>
      <c r="H45" s="219">
        <v>3900000</v>
      </c>
      <c r="I45" s="219"/>
      <c r="J45" s="219"/>
      <c r="K45" s="219"/>
      <c r="L45" s="479" t="s">
        <v>922</v>
      </c>
      <c r="M45" s="480" t="s">
        <v>1214</v>
      </c>
      <c r="N45" s="327" t="s">
        <v>327</v>
      </c>
      <c r="O45" s="218"/>
      <c r="P45" s="219"/>
      <c r="Q45" s="219">
        <v>3900000</v>
      </c>
      <c r="R45" s="219">
        <v>4000000</v>
      </c>
      <c r="S45" s="219">
        <v>4100000</v>
      </c>
      <c r="T45" s="219">
        <v>4250000</v>
      </c>
      <c r="U45" s="479" t="s">
        <v>1215</v>
      </c>
      <c r="V45" s="480" t="s">
        <v>1216</v>
      </c>
      <c r="W45" s="326" t="s">
        <v>327</v>
      </c>
      <c r="X45" s="436">
        <v>3560130</v>
      </c>
      <c r="Y45" s="207">
        <v>0</v>
      </c>
      <c r="Z45" s="207">
        <v>0</v>
      </c>
      <c r="AA45" s="207">
        <v>0</v>
      </c>
      <c r="AB45" s="207">
        <v>4173913</v>
      </c>
      <c r="AC45" s="207">
        <v>0</v>
      </c>
      <c r="AD45" s="207">
        <v>4173913</v>
      </c>
      <c r="AE45" s="219" t="s">
        <v>1217</v>
      </c>
      <c r="AF45" s="542" t="s">
        <v>327</v>
      </c>
      <c r="AG45" s="326" t="s">
        <v>327</v>
      </c>
      <c r="AH45" s="436"/>
      <c r="AI45" s="207"/>
      <c r="AJ45" s="207"/>
      <c r="AK45" s="207">
        <f>R45</f>
        <v>4000000</v>
      </c>
      <c r="AL45" s="207"/>
      <c r="AM45" s="207"/>
      <c r="AN45" s="207">
        <f t="shared" si="0"/>
        <v>4000000</v>
      </c>
      <c r="AO45" s="207" t="str">
        <f>U45</f>
        <v>Appliance Magazine (January 2010)</v>
      </c>
      <c r="AP45" s="215" t="str">
        <f>AF45</f>
        <v xml:space="preserve"> </v>
      </c>
      <c r="AQ45" s="326" t="s">
        <v>327</v>
      </c>
      <c r="AR45" s="441" t="s">
        <v>775</v>
      </c>
      <c r="AS45" s="512">
        <v>0</v>
      </c>
      <c r="AT45" s="211"/>
      <c r="AU45" s="215"/>
      <c r="AV45" s="326" t="s">
        <v>327</v>
      </c>
      <c r="AW45" s="446">
        <v>1</v>
      </c>
      <c r="AX45" s="214">
        <v>1</v>
      </c>
      <c r="AY45" s="210" t="s">
        <v>416</v>
      </c>
      <c r="AZ45" s="211" t="s">
        <v>221</v>
      </c>
      <c r="BA45" s="211">
        <v>12</v>
      </c>
      <c r="BB45" s="211">
        <v>12</v>
      </c>
      <c r="BC45" s="211" t="s">
        <v>240</v>
      </c>
      <c r="BD45" s="211"/>
      <c r="BE45" s="211"/>
      <c r="BF45" s="215"/>
      <c r="BG45" s="326" t="s">
        <v>327</v>
      </c>
      <c r="BH45" s="446">
        <v>1</v>
      </c>
      <c r="BI45" s="214">
        <v>1</v>
      </c>
      <c r="BJ45" s="211" t="s">
        <v>402</v>
      </c>
      <c r="BK45" s="211"/>
      <c r="BL45" s="211">
        <v>9.6</v>
      </c>
      <c r="BM45" s="211">
        <f>BL45*2000/1000</f>
        <v>19.2</v>
      </c>
      <c r="BN45" s="211" t="s">
        <v>329</v>
      </c>
      <c r="BO45" s="211">
        <v>9.6</v>
      </c>
      <c r="BP45" s="211">
        <f>BO45*2000/1000</f>
        <v>19.2</v>
      </c>
      <c r="BQ45" s="215" t="s">
        <v>309</v>
      </c>
      <c r="BR45" s="326" t="s">
        <v>327</v>
      </c>
      <c r="BS45" s="453">
        <v>0</v>
      </c>
      <c r="BT45" s="216">
        <v>0</v>
      </c>
      <c r="BU45" s="216">
        <v>0</v>
      </c>
      <c r="BV45" s="216">
        <v>0</v>
      </c>
      <c r="BW45" s="216">
        <v>0</v>
      </c>
      <c r="BX45" s="216">
        <v>0</v>
      </c>
      <c r="BY45" s="216">
        <v>0</v>
      </c>
      <c r="BZ45" s="216">
        <v>0</v>
      </c>
      <c r="CA45" s="216">
        <v>0</v>
      </c>
      <c r="CB45" s="216">
        <v>0</v>
      </c>
      <c r="CC45" s="216">
        <v>0</v>
      </c>
      <c r="CD45" s="217">
        <v>1</v>
      </c>
      <c r="CE45" s="215" t="s">
        <v>396</v>
      </c>
      <c r="CF45" s="326" t="s">
        <v>327</v>
      </c>
      <c r="CG45" s="377">
        <v>0</v>
      </c>
      <c r="CH45" s="378">
        <v>0</v>
      </c>
      <c r="CI45" s="378">
        <v>0.33</v>
      </c>
      <c r="CJ45" s="378">
        <v>0.67</v>
      </c>
      <c r="CK45" s="378">
        <v>0</v>
      </c>
      <c r="CL45" s="378">
        <v>0</v>
      </c>
      <c r="CM45" s="378">
        <v>0</v>
      </c>
      <c r="CN45" s="378">
        <v>0</v>
      </c>
      <c r="CO45" s="378">
        <v>0</v>
      </c>
      <c r="CP45" s="385">
        <v>0</v>
      </c>
      <c r="CQ45" s="215" t="s">
        <v>396</v>
      </c>
      <c r="CR45" s="326" t="s">
        <v>327</v>
      </c>
      <c r="CS45" s="218">
        <f t="shared" si="225"/>
        <v>0</v>
      </c>
      <c r="CT45" s="219">
        <f t="shared" si="226"/>
        <v>0</v>
      </c>
      <c r="CU45" s="219">
        <f t="shared" si="227"/>
        <v>0</v>
      </c>
      <c r="CV45" s="219">
        <f t="shared" si="228"/>
        <v>0</v>
      </c>
      <c r="CW45" s="219">
        <f t="shared" si="229"/>
        <v>0</v>
      </c>
      <c r="CX45" s="219">
        <f t="shared" si="230"/>
        <v>0</v>
      </c>
      <c r="CY45" s="219">
        <f t="shared" si="231"/>
        <v>0</v>
      </c>
      <c r="CZ45" s="219">
        <f t="shared" si="232"/>
        <v>0</v>
      </c>
      <c r="DA45" s="219">
        <f t="shared" si="233"/>
        <v>0</v>
      </c>
      <c r="DB45" s="219">
        <f t="shared" si="234"/>
        <v>0</v>
      </c>
      <c r="DC45" s="219">
        <f t="shared" si="235"/>
        <v>0</v>
      </c>
      <c r="DD45" s="219">
        <f t="shared" si="236"/>
        <v>4000000</v>
      </c>
      <c r="DE45" s="326"/>
      <c r="DF45" s="220">
        <f t="shared" si="237"/>
        <v>0</v>
      </c>
      <c r="DG45" s="221">
        <f t="shared" si="238"/>
        <v>0</v>
      </c>
      <c r="DH45" s="221">
        <f t="shared" si="239"/>
        <v>1320000</v>
      </c>
      <c r="DI45" s="221">
        <f t="shared" si="240"/>
        <v>2680000</v>
      </c>
      <c r="DJ45" s="221">
        <f t="shared" si="241"/>
        <v>0</v>
      </c>
      <c r="DK45" s="221">
        <f t="shared" si="242"/>
        <v>0</v>
      </c>
      <c r="DL45" s="221">
        <f t="shared" si="243"/>
        <v>0</v>
      </c>
      <c r="DM45" s="221">
        <f t="shared" si="244"/>
        <v>0</v>
      </c>
      <c r="DN45" s="221">
        <f t="shared" si="245"/>
        <v>0</v>
      </c>
      <c r="DO45" s="222">
        <f t="shared" si="246"/>
        <v>0</v>
      </c>
      <c r="DP45" s="326" t="s">
        <v>327</v>
      </c>
      <c r="DQ45" s="218">
        <f t="shared" si="30"/>
        <v>0</v>
      </c>
      <c r="DR45" s="219">
        <f t="shared" si="100"/>
        <v>0</v>
      </c>
      <c r="DS45" s="219">
        <f t="shared" si="101"/>
        <v>0</v>
      </c>
      <c r="DT45" s="219">
        <f t="shared" si="102"/>
        <v>0</v>
      </c>
      <c r="DU45" s="219">
        <f t="shared" si="103"/>
        <v>0</v>
      </c>
      <c r="DV45" s="219">
        <f t="shared" si="104"/>
        <v>0</v>
      </c>
      <c r="DW45" s="219">
        <f t="shared" si="105"/>
        <v>0</v>
      </c>
      <c r="DX45" s="219">
        <f t="shared" si="106"/>
        <v>0</v>
      </c>
      <c r="DY45" s="219">
        <f t="shared" si="107"/>
        <v>0</v>
      </c>
      <c r="DZ45" s="219">
        <f t="shared" si="108"/>
        <v>0</v>
      </c>
      <c r="EA45" s="219">
        <f t="shared" si="40"/>
        <v>0</v>
      </c>
      <c r="EB45" s="219">
        <f t="shared" si="109"/>
        <v>4000000</v>
      </c>
      <c r="EC45" s="326"/>
      <c r="ED45" s="220">
        <f t="shared" si="42"/>
        <v>0</v>
      </c>
      <c r="EE45" s="221">
        <f t="shared" si="128"/>
        <v>0</v>
      </c>
      <c r="EF45" s="221">
        <f t="shared" si="129"/>
        <v>1320000</v>
      </c>
      <c r="EG45" s="221">
        <f t="shared" si="130"/>
        <v>2680000</v>
      </c>
      <c r="EH45" s="221">
        <f t="shared" si="131"/>
        <v>0</v>
      </c>
      <c r="EI45" s="221">
        <f t="shared" si="132"/>
        <v>0</v>
      </c>
      <c r="EJ45" s="221">
        <f t="shared" si="133"/>
        <v>0</v>
      </c>
      <c r="EK45" s="221">
        <f t="shared" si="134"/>
        <v>0</v>
      </c>
      <c r="EL45" s="221">
        <f t="shared" si="135"/>
        <v>0</v>
      </c>
      <c r="EM45" s="222">
        <f t="shared" si="136"/>
        <v>0</v>
      </c>
      <c r="EN45" s="326" t="s">
        <v>327</v>
      </c>
      <c r="EO45" s="218">
        <f t="shared" si="43"/>
        <v>0</v>
      </c>
      <c r="EP45" s="219">
        <f t="shared" si="110"/>
        <v>0</v>
      </c>
      <c r="EQ45" s="219">
        <f t="shared" si="111"/>
        <v>0</v>
      </c>
      <c r="ER45" s="219">
        <f t="shared" si="112"/>
        <v>0</v>
      </c>
      <c r="ES45" s="219">
        <f t="shared" si="113"/>
        <v>0</v>
      </c>
      <c r="ET45" s="219">
        <f t="shared" si="114"/>
        <v>0</v>
      </c>
      <c r="EU45" s="219">
        <f t="shared" si="115"/>
        <v>0</v>
      </c>
      <c r="EV45" s="219">
        <f t="shared" si="116"/>
        <v>0</v>
      </c>
      <c r="EW45" s="219">
        <f t="shared" si="117"/>
        <v>0</v>
      </c>
      <c r="EX45" s="219">
        <f t="shared" si="118"/>
        <v>0</v>
      </c>
      <c r="EY45" s="219">
        <f t="shared" si="53"/>
        <v>0</v>
      </c>
      <c r="EZ45" s="219">
        <f t="shared" si="119"/>
        <v>0</v>
      </c>
      <c r="FA45" s="326"/>
      <c r="FB45" s="220">
        <f t="shared" si="55"/>
        <v>0</v>
      </c>
      <c r="FC45" s="221">
        <f t="shared" si="137"/>
        <v>0</v>
      </c>
      <c r="FD45" s="221">
        <f t="shared" si="138"/>
        <v>0</v>
      </c>
      <c r="FE45" s="221">
        <f t="shared" si="139"/>
        <v>0</v>
      </c>
      <c r="FF45" s="221">
        <f t="shared" si="140"/>
        <v>0</v>
      </c>
      <c r="FG45" s="221">
        <f t="shared" si="141"/>
        <v>0</v>
      </c>
      <c r="FH45" s="221">
        <f t="shared" si="142"/>
        <v>0</v>
      </c>
      <c r="FI45" s="221">
        <f t="shared" si="143"/>
        <v>0</v>
      </c>
      <c r="FJ45" s="221">
        <f t="shared" si="144"/>
        <v>0</v>
      </c>
      <c r="FK45" s="222">
        <f t="shared" si="145"/>
        <v>0</v>
      </c>
    </row>
    <row r="46" spans="1:167" s="6" customFormat="1">
      <c r="A46" s="186" t="s">
        <v>164</v>
      </c>
      <c r="B46" s="186" t="s">
        <v>165</v>
      </c>
      <c r="C46" s="187" t="s">
        <v>127</v>
      </c>
      <c r="D46" s="188">
        <f t="shared" si="56"/>
        <v>41</v>
      </c>
      <c r="E46" s="327" t="s">
        <v>327</v>
      </c>
      <c r="F46" s="154"/>
      <c r="G46" s="154"/>
      <c r="H46" s="154"/>
      <c r="I46" s="154"/>
      <c r="J46" s="154"/>
      <c r="K46" s="154"/>
      <c r="L46" s="156"/>
      <c r="M46" s="478"/>
      <c r="N46" s="327" t="s">
        <v>327</v>
      </c>
      <c r="O46" s="432"/>
      <c r="P46" s="191"/>
      <c r="Q46" s="191"/>
      <c r="R46" s="191"/>
      <c r="S46" s="189"/>
      <c r="T46" s="189"/>
      <c r="U46" s="193"/>
      <c r="V46" s="197"/>
      <c r="W46" s="326" t="s">
        <v>327</v>
      </c>
      <c r="X46" s="435">
        <v>0</v>
      </c>
      <c r="Y46" s="189">
        <v>0</v>
      </c>
      <c r="Z46" s="189">
        <v>0</v>
      </c>
      <c r="AA46" s="189">
        <v>0</v>
      </c>
      <c r="AB46" s="189">
        <v>1000000</v>
      </c>
      <c r="AC46" s="189">
        <v>0</v>
      </c>
      <c r="AD46" s="189">
        <v>1000000</v>
      </c>
      <c r="AE46" s="189" t="s">
        <v>924</v>
      </c>
      <c r="AF46" s="437" t="s">
        <v>327</v>
      </c>
      <c r="AG46" s="326" t="s">
        <v>327</v>
      </c>
      <c r="AH46" s="435"/>
      <c r="AI46" s="189"/>
      <c r="AJ46" s="189"/>
      <c r="AK46" s="189">
        <f t="shared" ref="AK46:AK53" si="254">AD46</f>
        <v>1000000</v>
      </c>
      <c r="AL46" s="189"/>
      <c r="AM46" s="189"/>
      <c r="AN46" s="189">
        <f t="shared" si="0"/>
        <v>1000000</v>
      </c>
      <c r="AO46" s="189" t="str">
        <f t="shared" ref="AO46:AO53" si="255">AE46</f>
        <v>iRobot Corporation 2008</v>
      </c>
      <c r="AP46" s="437" t="str">
        <f t="shared" ref="AP46:AP53" si="256">AF46</f>
        <v xml:space="preserve"> </v>
      </c>
      <c r="AQ46" s="326" t="s">
        <v>327</v>
      </c>
      <c r="AR46" s="439" t="s">
        <v>775</v>
      </c>
      <c r="AS46" s="511">
        <v>0</v>
      </c>
      <c r="AT46" s="193"/>
      <c r="AU46" s="197"/>
      <c r="AV46" s="326" t="s">
        <v>327</v>
      </c>
      <c r="AW46" s="445">
        <v>1</v>
      </c>
      <c r="AX46" s="196">
        <v>1</v>
      </c>
      <c r="AY46" s="481" t="s">
        <v>249</v>
      </c>
      <c r="AZ46" s="193"/>
      <c r="BA46" s="193">
        <v>18</v>
      </c>
      <c r="BB46" s="193">
        <v>18</v>
      </c>
      <c r="BC46" s="193" t="s">
        <v>240</v>
      </c>
      <c r="BD46" s="193"/>
      <c r="BE46" s="193"/>
      <c r="BF46" s="197"/>
      <c r="BG46" s="326" t="s">
        <v>327</v>
      </c>
      <c r="BH46" s="445">
        <v>1</v>
      </c>
      <c r="BI46" s="196">
        <v>1</v>
      </c>
      <c r="BJ46" s="193" t="s">
        <v>403</v>
      </c>
      <c r="BK46" s="193"/>
      <c r="BL46" s="193">
        <v>14.4</v>
      </c>
      <c r="BM46" s="193">
        <v>43.2</v>
      </c>
      <c r="BN46" s="193" t="s">
        <v>294</v>
      </c>
      <c r="BO46" s="193"/>
      <c r="BP46" s="193"/>
      <c r="BQ46" s="197"/>
      <c r="BR46" s="326" t="s">
        <v>327</v>
      </c>
      <c r="BS46" s="452">
        <v>0</v>
      </c>
      <c r="BT46" s="198">
        <v>0</v>
      </c>
      <c r="BU46" s="198">
        <v>0</v>
      </c>
      <c r="BV46" s="198">
        <v>0</v>
      </c>
      <c r="BW46" s="198">
        <v>0</v>
      </c>
      <c r="BX46" s="198">
        <v>0</v>
      </c>
      <c r="BY46" s="198">
        <v>0</v>
      </c>
      <c r="BZ46" s="198">
        <v>0</v>
      </c>
      <c r="CA46" s="198">
        <v>0</v>
      </c>
      <c r="CB46" s="198">
        <v>0</v>
      </c>
      <c r="CC46" s="198">
        <v>0</v>
      </c>
      <c r="CD46" s="199">
        <v>1</v>
      </c>
      <c r="CE46" s="197" t="s">
        <v>272</v>
      </c>
      <c r="CF46" s="326" t="s">
        <v>327</v>
      </c>
      <c r="CG46" s="379">
        <v>0</v>
      </c>
      <c r="CH46" s="380">
        <v>0</v>
      </c>
      <c r="CI46" s="380">
        <v>0</v>
      </c>
      <c r="CJ46" s="380">
        <v>1</v>
      </c>
      <c r="CK46" s="380">
        <v>0</v>
      </c>
      <c r="CL46" s="380">
        <v>0</v>
      </c>
      <c r="CM46" s="380">
        <v>0</v>
      </c>
      <c r="CN46" s="380">
        <v>0</v>
      </c>
      <c r="CO46" s="380">
        <v>0</v>
      </c>
      <c r="CP46" s="386">
        <v>0</v>
      </c>
      <c r="CQ46" s="197" t="s">
        <v>272</v>
      </c>
      <c r="CR46" s="326" t="s">
        <v>327</v>
      </c>
      <c r="CS46" s="200">
        <f t="shared" si="225"/>
        <v>0</v>
      </c>
      <c r="CT46" s="154">
        <f t="shared" si="226"/>
        <v>0</v>
      </c>
      <c r="CU46" s="154">
        <f t="shared" si="227"/>
        <v>0</v>
      </c>
      <c r="CV46" s="154">
        <f t="shared" si="228"/>
        <v>0</v>
      </c>
      <c r="CW46" s="154">
        <f t="shared" si="229"/>
        <v>0</v>
      </c>
      <c r="CX46" s="154">
        <f t="shared" si="230"/>
        <v>0</v>
      </c>
      <c r="CY46" s="154">
        <f t="shared" si="231"/>
        <v>0</v>
      </c>
      <c r="CZ46" s="154">
        <f t="shared" si="232"/>
        <v>0</v>
      </c>
      <c r="DA46" s="154">
        <f t="shared" si="233"/>
        <v>0</v>
      </c>
      <c r="DB46" s="154">
        <f t="shared" si="234"/>
        <v>0</v>
      </c>
      <c r="DC46" s="154">
        <f t="shared" si="235"/>
        <v>0</v>
      </c>
      <c r="DD46" s="154">
        <f t="shared" si="236"/>
        <v>1000000</v>
      </c>
      <c r="DE46" s="326"/>
      <c r="DF46" s="201">
        <f t="shared" si="237"/>
        <v>0</v>
      </c>
      <c r="DG46" s="202">
        <f t="shared" si="238"/>
        <v>0</v>
      </c>
      <c r="DH46" s="202">
        <f t="shared" si="239"/>
        <v>0</v>
      </c>
      <c r="DI46" s="202">
        <f t="shared" si="240"/>
        <v>1000000</v>
      </c>
      <c r="DJ46" s="202">
        <f t="shared" si="241"/>
        <v>0</v>
      </c>
      <c r="DK46" s="202">
        <f t="shared" si="242"/>
        <v>0</v>
      </c>
      <c r="DL46" s="202">
        <f t="shared" si="243"/>
        <v>0</v>
      </c>
      <c r="DM46" s="202">
        <f t="shared" si="244"/>
        <v>0</v>
      </c>
      <c r="DN46" s="202">
        <f t="shared" si="245"/>
        <v>0</v>
      </c>
      <c r="DO46" s="203">
        <f t="shared" si="246"/>
        <v>0</v>
      </c>
      <c r="DP46" s="326" t="s">
        <v>327</v>
      </c>
      <c r="DQ46" s="200">
        <f t="shared" si="30"/>
        <v>0</v>
      </c>
      <c r="DR46" s="154">
        <f t="shared" si="100"/>
        <v>0</v>
      </c>
      <c r="DS46" s="154">
        <f t="shared" si="101"/>
        <v>0</v>
      </c>
      <c r="DT46" s="154">
        <f t="shared" si="102"/>
        <v>0</v>
      </c>
      <c r="DU46" s="154">
        <f t="shared" si="103"/>
        <v>0</v>
      </c>
      <c r="DV46" s="154">
        <f t="shared" si="104"/>
        <v>0</v>
      </c>
      <c r="DW46" s="154">
        <f t="shared" si="105"/>
        <v>0</v>
      </c>
      <c r="DX46" s="154">
        <f t="shared" si="106"/>
        <v>0</v>
      </c>
      <c r="DY46" s="154">
        <f t="shared" si="107"/>
        <v>0</v>
      </c>
      <c r="DZ46" s="154">
        <f t="shared" si="108"/>
        <v>0</v>
      </c>
      <c r="EA46" s="154">
        <f t="shared" si="40"/>
        <v>0</v>
      </c>
      <c r="EB46" s="154">
        <f t="shared" si="109"/>
        <v>1000000</v>
      </c>
      <c r="EC46" s="326"/>
      <c r="ED46" s="201">
        <f t="shared" si="42"/>
        <v>0</v>
      </c>
      <c r="EE46" s="202">
        <f t="shared" si="128"/>
        <v>0</v>
      </c>
      <c r="EF46" s="202">
        <f t="shared" si="129"/>
        <v>0</v>
      </c>
      <c r="EG46" s="202">
        <f t="shared" si="130"/>
        <v>1000000</v>
      </c>
      <c r="EH46" s="202">
        <f t="shared" si="131"/>
        <v>0</v>
      </c>
      <c r="EI46" s="202">
        <f t="shared" si="132"/>
        <v>0</v>
      </c>
      <c r="EJ46" s="202">
        <f t="shared" si="133"/>
        <v>0</v>
      </c>
      <c r="EK46" s="202">
        <f t="shared" si="134"/>
        <v>0</v>
      </c>
      <c r="EL46" s="202">
        <f t="shared" si="135"/>
        <v>0</v>
      </c>
      <c r="EM46" s="203">
        <f t="shared" si="136"/>
        <v>0</v>
      </c>
      <c r="EN46" s="326" t="s">
        <v>327</v>
      </c>
      <c r="EO46" s="200">
        <f t="shared" si="43"/>
        <v>0</v>
      </c>
      <c r="EP46" s="154">
        <f t="shared" si="110"/>
        <v>0</v>
      </c>
      <c r="EQ46" s="154">
        <f t="shared" si="111"/>
        <v>0</v>
      </c>
      <c r="ER46" s="154">
        <f t="shared" si="112"/>
        <v>0</v>
      </c>
      <c r="ES46" s="154">
        <f t="shared" si="113"/>
        <v>0</v>
      </c>
      <c r="ET46" s="154">
        <f t="shared" si="114"/>
        <v>0</v>
      </c>
      <c r="EU46" s="154">
        <f t="shared" si="115"/>
        <v>0</v>
      </c>
      <c r="EV46" s="154">
        <f t="shared" si="116"/>
        <v>0</v>
      </c>
      <c r="EW46" s="154">
        <f t="shared" si="117"/>
        <v>0</v>
      </c>
      <c r="EX46" s="154">
        <f t="shared" si="118"/>
        <v>0</v>
      </c>
      <c r="EY46" s="154">
        <f t="shared" si="53"/>
        <v>0</v>
      </c>
      <c r="EZ46" s="154">
        <f t="shared" si="119"/>
        <v>0</v>
      </c>
      <c r="FA46" s="326"/>
      <c r="FB46" s="201">
        <f t="shared" si="55"/>
        <v>0</v>
      </c>
      <c r="FC46" s="202">
        <f t="shared" si="137"/>
        <v>0</v>
      </c>
      <c r="FD46" s="202">
        <f t="shared" si="138"/>
        <v>0</v>
      </c>
      <c r="FE46" s="202">
        <f t="shared" si="139"/>
        <v>0</v>
      </c>
      <c r="FF46" s="202">
        <f t="shared" si="140"/>
        <v>0</v>
      </c>
      <c r="FG46" s="202">
        <f t="shared" si="141"/>
        <v>0</v>
      </c>
      <c r="FH46" s="202">
        <f t="shared" si="142"/>
        <v>0</v>
      </c>
      <c r="FI46" s="202">
        <f t="shared" si="143"/>
        <v>0</v>
      </c>
      <c r="FJ46" s="202">
        <f t="shared" si="144"/>
        <v>0</v>
      </c>
      <c r="FK46" s="203">
        <f t="shared" si="145"/>
        <v>0</v>
      </c>
    </row>
    <row r="47" spans="1:167" s="6" customFormat="1">
      <c r="A47" s="204" t="s">
        <v>164</v>
      </c>
      <c r="B47" s="204" t="s">
        <v>165</v>
      </c>
      <c r="C47" s="205" t="s">
        <v>128</v>
      </c>
      <c r="D47" s="206">
        <f t="shared" si="56"/>
        <v>42</v>
      </c>
      <c r="E47" s="327" t="s">
        <v>327</v>
      </c>
      <c r="F47" s="219"/>
      <c r="G47" s="219"/>
      <c r="H47" s="219"/>
      <c r="I47" s="219"/>
      <c r="J47" s="219"/>
      <c r="K47" s="219"/>
      <c r="L47" s="479"/>
      <c r="M47" s="480"/>
      <c r="N47" s="327" t="s">
        <v>327</v>
      </c>
      <c r="O47" s="433"/>
      <c r="P47" s="209"/>
      <c r="Q47" s="209"/>
      <c r="R47" s="209"/>
      <c r="S47" s="207"/>
      <c r="T47" s="207"/>
      <c r="U47" s="211"/>
      <c r="V47" s="215"/>
      <c r="W47" s="326" t="s">
        <v>327</v>
      </c>
      <c r="X47" s="436">
        <v>3134000</v>
      </c>
      <c r="Y47" s="207">
        <v>0</v>
      </c>
      <c r="Z47" s="207">
        <v>4518836</v>
      </c>
      <c r="AA47" s="207">
        <v>4500000</v>
      </c>
      <c r="AB47" s="207">
        <v>4150000</v>
      </c>
      <c r="AC47" s="207">
        <v>0</v>
      </c>
      <c r="AD47" s="207">
        <v>4150000</v>
      </c>
      <c r="AE47" s="207" t="s">
        <v>922</v>
      </c>
      <c r="AF47" s="215" t="s">
        <v>327</v>
      </c>
      <c r="AG47" s="326" t="s">
        <v>327</v>
      </c>
      <c r="AH47" s="436"/>
      <c r="AI47" s="207"/>
      <c r="AJ47" s="207"/>
      <c r="AK47" s="207">
        <f t="shared" si="254"/>
        <v>4150000</v>
      </c>
      <c r="AL47" s="207"/>
      <c r="AM47" s="207"/>
      <c r="AN47" s="207">
        <f t="shared" si="0"/>
        <v>4150000</v>
      </c>
      <c r="AO47" s="207" t="str">
        <f t="shared" si="255"/>
        <v>Appliance Magazine (May 2009)</v>
      </c>
      <c r="AP47" s="215" t="str">
        <f t="shared" si="256"/>
        <v xml:space="preserve"> </v>
      </c>
      <c r="AQ47" s="326" t="s">
        <v>327</v>
      </c>
      <c r="AR47" s="441" t="s">
        <v>775</v>
      </c>
      <c r="AS47" s="512">
        <v>0</v>
      </c>
      <c r="AT47" s="479"/>
      <c r="AU47" s="480"/>
      <c r="AV47" s="326" t="s">
        <v>327</v>
      </c>
      <c r="AW47" s="446">
        <v>0.63</v>
      </c>
      <c r="AX47" s="214">
        <v>1</v>
      </c>
      <c r="AY47" s="479" t="s">
        <v>249</v>
      </c>
      <c r="AZ47" s="211"/>
      <c r="BA47" s="211">
        <v>12</v>
      </c>
      <c r="BB47" s="211">
        <v>18</v>
      </c>
      <c r="BC47" s="211" t="s">
        <v>240</v>
      </c>
      <c r="BD47" s="211"/>
      <c r="BE47" s="211"/>
      <c r="BF47" s="215"/>
      <c r="BG47" s="326" t="s">
        <v>327</v>
      </c>
      <c r="BH47" s="446">
        <v>0.63</v>
      </c>
      <c r="BI47" s="214">
        <v>1</v>
      </c>
      <c r="BJ47" s="211" t="s">
        <v>249</v>
      </c>
      <c r="BK47" s="211"/>
      <c r="BL47" s="211">
        <v>9.6</v>
      </c>
      <c r="BM47" s="211">
        <v>19.2</v>
      </c>
      <c r="BN47" s="211" t="s">
        <v>330</v>
      </c>
      <c r="BO47" s="211">
        <v>9.6</v>
      </c>
      <c r="BP47" s="211">
        <v>19.2</v>
      </c>
      <c r="BQ47" s="215" t="s">
        <v>309</v>
      </c>
      <c r="BR47" s="326" t="s">
        <v>327</v>
      </c>
      <c r="BS47" s="453">
        <v>0</v>
      </c>
      <c r="BT47" s="216">
        <v>0</v>
      </c>
      <c r="BU47" s="216">
        <v>0</v>
      </c>
      <c r="BV47" s="216">
        <v>0</v>
      </c>
      <c r="BW47" s="216">
        <v>0</v>
      </c>
      <c r="BX47" s="216">
        <v>0</v>
      </c>
      <c r="BY47" s="216">
        <v>0</v>
      </c>
      <c r="BZ47" s="216">
        <v>0</v>
      </c>
      <c r="CA47" s="216">
        <v>0</v>
      </c>
      <c r="CB47" s="216">
        <v>0</v>
      </c>
      <c r="CC47" s="216">
        <v>0</v>
      </c>
      <c r="CD47" s="217">
        <v>1</v>
      </c>
      <c r="CE47" s="215" t="s">
        <v>396</v>
      </c>
      <c r="CF47" s="326" t="s">
        <v>327</v>
      </c>
      <c r="CG47" s="377">
        <v>0</v>
      </c>
      <c r="CH47" s="378">
        <v>0</v>
      </c>
      <c r="CI47" s="378">
        <v>0.33</v>
      </c>
      <c r="CJ47" s="378">
        <v>0.67</v>
      </c>
      <c r="CK47" s="378">
        <v>0</v>
      </c>
      <c r="CL47" s="378">
        <v>0</v>
      </c>
      <c r="CM47" s="378">
        <v>0</v>
      </c>
      <c r="CN47" s="378">
        <v>0</v>
      </c>
      <c r="CO47" s="378">
        <v>0</v>
      </c>
      <c r="CP47" s="385">
        <v>0</v>
      </c>
      <c r="CQ47" s="215" t="s">
        <v>396</v>
      </c>
      <c r="CR47" s="326" t="s">
        <v>327</v>
      </c>
      <c r="CS47" s="218">
        <f t="shared" si="225"/>
        <v>0</v>
      </c>
      <c r="CT47" s="219">
        <f t="shared" si="226"/>
        <v>0</v>
      </c>
      <c r="CU47" s="219">
        <f t="shared" si="227"/>
        <v>0</v>
      </c>
      <c r="CV47" s="219">
        <f t="shared" si="228"/>
        <v>0</v>
      </c>
      <c r="CW47" s="219">
        <f t="shared" si="229"/>
        <v>0</v>
      </c>
      <c r="CX47" s="219">
        <f t="shared" si="230"/>
        <v>0</v>
      </c>
      <c r="CY47" s="219">
        <f t="shared" si="231"/>
        <v>0</v>
      </c>
      <c r="CZ47" s="219">
        <f t="shared" si="232"/>
        <v>0</v>
      </c>
      <c r="DA47" s="219">
        <f t="shared" si="233"/>
        <v>0</v>
      </c>
      <c r="DB47" s="219">
        <f t="shared" si="234"/>
        <v>0</v>
      </c>
      <c r="DC47" s="219">
        <f t="shared" si="235"/>
        <v>0</v>
      </c>
      <c r="DD47" s="219">
        <f t="shared" si="236"/>
        <v>2614500</v>
      </c>
      <c r="DE47" s="326"/>
      <c r="DF47" s="220">
        <f t="shared" si="237"/>
        <v>0</v>
      </c>
      <c r="DG47" s="221">
        <f t="shared" si="238"/>
        <v>0</v>
      </c>
      <c r="DH47" s="221">
        <f t="shared" si="239"/>
        <v>862785</v>
      </c>
      <c r="DI47" s="221">
        <f t="shared" si="240"/>
        <v>1751715</v>
      </c>
      <c r="DJ47" s="221">
        <f t="shared" si="241"/>
        <v>0</v>
      </c>
      <c r="DK47" s="221">
        <f t="shared" si="242"/>
        <v>0</v>
      </c>
      <c r="DL47" s="221">
        <f t="shared" si="243"/>
        <v>0</v>
      </c>
      <c r="DM47" s="221">
        <f t="shared" si="244"/>
        <v>0</v>
      </c>
      <c r="DN47" s="221">
        <f t="shared" si="245"/>
        <v>0</v>
      </c>
      <c r="DO47" s="222">
        <f t="shared" si="246"/>
        <v>0</v>
      </c>
      <c r="DP47" s="326" t="s">
        <v>327</v>
      </c>
      <c r="DQ47" s="218">
        <f t="shared" si="30"/>
        <v>0</v>
      </c>
      <c r="DR47" s="219">
        <f t="shared" si="100"/>
        <v>0</v>
      </c>
      <c r="DS47" s="219">
        <f t="shared" si="101"/>
        <v>0</v>
      </c>
      <c r="DT47" s="219">
        <f t="shared" si="102"/>
        <v>0</v>
      </c>
      <c r="DU47" s="219">
        <f t="shared" si="103"/>
        <v>0</v>
      </c>
      <c r="DV47" s="219">
        <f t="shared" si="104"/>
        <v>0</v>
      </c>
      <c r="DW47" s="219">
        <f t="shared" si="105"/>
        <v>0</v>
      </c>
      <c r="DX47" s="219">
        <f t="shared" si="106"/>
        <v>0</v>
      </c>
      <c r="DY47" s="219">
        <f t="shared" si="107"/>
        <v>0</v>
      </c>
      <c r="DZ47" s="219">
        <f t="shared" si="108"/>
        <v>0</v>
      </c>
      <c r="EA47" s="219">
        <f t="shared" si="40"/>
        <v>0</v>
      </c>
      <c r="EB47" s="219">
        <f t="shared" si="109"/>
        <v>2614500</v>
      </c>
      <c r="EC47" s="326"/>
      <c r="ED47" s="220">
        <f t="shared" si="42"/>
        <v>0</v>
      </c>
      <c r="EE47" s="221">
        <f t="shared" si="128"/>
        <v>0</v>
      </c>
      <c r="EF47" s="221">
        <f t="shared" si="129"/>
        <v>862785</v>
      </c>
      <c r="EG47" s="221">
        <f t="shared" si="130"/>
        <v>1751715</v>
      </c>
      <c r="EH47" s="221">
        <f t="shared" si="131"/>
        <v>0</v>
      </c>
      <c r="EI47" s="221">
        <f t="shared" si="132"/>
        <v>0</v>
      </c>
      <c r="EJ47" s="221">
        <f t="shared" si="133"/>
        <v>0</v>
      </c>
      <c r="EK47" s="221">
        <f t="shared" si="134"/>
        <v>0</v>
      </c>
      <c r="EL47" s="221">
        <f t="shared" si="135"/>
        <v>0</v>
      </c>
      <c r="EM47" s="222">
        <f t="shared" si="136"/>
        <v>0</v>
      </c>
      <c r="EN47" s="326" t="s">
        <v>327</v>
      </c>
      <c r="EO47" s="218">
        <f t="shared" si="43"/>
        <v>0</v>
      </c>
      <c r="EP47" s="219">
        <f t="shared" si="110"/>
        <v>0</v>
      </c>
      <c r="EQ47" s="219">
        <f t="shared" si="111"/>
        <v>0</v>
      </c>
      <c r="ER47" s="219">
        <f t="shared" si="112"/>
        <v>0</v>
      </c>
      <c r="ES47" s="219">
        <f t="shared" si="113"/>
        <v>0</v>
      </c>
      <c r="ET47" s="219">
        <f t="shared" si="114"/>
        <v>0</v>
      </c>
      <c r="EU47" s="219">
        <f t="shared" si="115"/>
        <v>0</v>
      </c>
      <c r="EV47" s="219">
        <f t="shared" si="116"/>
        <v>0</v>
      </c>
      <c r="EW47" s="219">
        <f t="shared" si="117"/>
        <v>0</v>
      </c>
      <c r="EX47" s="219">
        <f t="shared" si="118"/>
        <v>0</v>
      </c>
      <c r="EY47" s="219">
        <f t="shared" si="53"/>
        <v>0</v>
      </c>
      <c r="EZ47" s="219">
        <f t="shared" si="119"/>
        <v>0</v>
      </c>
      <c r="FA47" s="326"/>
      <c r="FB47" s="220">
        <f t="shared" si="55"/>
        <v>0</v>
      </c>
      <c r="FC47" s="221">
        <f t="shared" si="137"/>
        <v>0</v>
      </c>
      <c r="FD47" s="221">
        <f t="shared" si="138"/>
        <v>0</v>
      </c>
      <c r="FE47" s="221">
        <f t="shared" si="139"/>
        <v>0</v>
      </c>
      <c r="FF47" s="221">
        <f t="shared" si="140"/>
        <v>0</v>
      </c>
      <c r="FG47" s="221">
        <f t="shared" si="141"/>
        <v>0</v>
      </c>
      <c r="FH47" s="221">
        <f t="shared" si="142"/>
        <v>0</v>
      </c>
      <c r="FI47" s="221">
        <f t="shared" si="143"/>
        <v>0</v>
      </c>
      <c r="FJ47" s="221">
        <f t="shared" si="144"/>
        <v>0</v>
      </c>
      <c r="FK47" s="222">
        <f t="shared" si="145"/>
        <v>0</v>
      </c>
    </row>
    <row r="48" spans="1:167" s="6" customFormat="1">
      <c r="A48" s="186" t="s">
        <v>164</v>
      </c>
      <c r="B48" s="186" t="s">
        <v>201</v>
      </c>
      <c r="C48" s="187" t="s">
        <v>227</v>
      </c>
      <c r="D48" s="188">
        <f t="shared" si="56"/>
        <v>43</v>
      </c>
      <c r="E48" s="327" t="s">
        <v>327</v>
      </c>
      <c r="F48" s="154"/>
      <c r="G48" s="154"/>
      <c r="H48" s="154"/>
      <c r="I48" s="154"/>
      <c r="J48" s="154"/>
      <c r="K48" s="154"/>
      <c r="L48" s="156"/>
      <c r="M48" s="478"/>
      <c r="N48" s="327" t="s">
        <v>327</v>
      </c>
      <c r="O48" s="432"/>
      <c r="P48" s="191"/>
      <c r="Q48" s="191"/>
      <c r="R48" s="191"/>
      <c r="S48" s="189"/>
      <c r="T48" s="189"/>
      <c r="U48" s="193"/>
      <c r="V48" s="197"/>
      <c r="W48" s="326" t="s">
        <v>327</v>
      </c>
      <c r="X48" s="435">
        <v>0</v>
      </c>
      <c r="Y48" s="189">
        <v>0</v>
      </c>
      <c r="Z48" s="189">
        <v>0</v>
      </c>
      <c r="AA48" s="189">
        <v>0</v>
      </c>
      <c r="AB48" s="189">
        <v>4219178.0821917811</v>
      </c>
      <c r="AC48" s="189">
        <v>0</v>
      </c>
      <c r="AD48" s="189">
        <v>4219178.0821917811</v>
      </c>
      <c r="AE48" s="189" t="s">
        <v>843</v>
      </c>
      <c r="AF48" s="189" t="s">
        <v>390</v>
      </c>
      <c r="AG48" s="326" t="s">
        <v>327</v>
      </c>
      <c r="AH48" s="435"/>
      <c r="AI48" s="189"/>
      <c r="AJ48" s="189"/>
      <c r="AK48" s="189">
        <f t="shared" si="254"/>
        <v>4219178.0821917811</v>
      </c>
      <c r="AL48" s="189"/>
      <c r="AM48" s="189"/>
      <c r="AN48" s="189">
        <f t="shared" si="0"/>
        <v>4219178.0821917811</v>
      </c>
      <c r="AO48" s="189" t="str">
        <f t="shared" si="255"/>
        <v>DOE estimate</v>
      </c>
      <c r="AP48" s="437" t="str">
        <f t="shared" si="256"/>
        <v xml:space="preserve">Based on saturation, number of households and average lifetime. SIA: residential market: 28% saturation, no increase in saturation expected. Meeting with D&amp;R and DOE 4/9/2009 </v>
      </c>
      <c r="AQ48" s="326" t="s">
        <v>327</v>
      </c>
      <c r="AR48" s="439" t="s">
        <v>775</v>
      </c>
      <c r="AS48" s="511">
        <v>0</v>
      </c>
      <c r="AT48" s="193"/>
      <c r="AU48" s="197"/>
      <c r="AV48" s="326" t="s">
        <v>327</v>
      </c>
      <c r="AW48" s="445">
        <v>1</v>
      </c>
      <c r="AX48" s="196">
        <v>1</v>
      </c>
      <c r="AY48" s="192" t="s">
        <v>413</v>
      </c>
      <c r="AZ48" s="193"/>
      <c r="BA48" s="193">
        <v>16</v>
      </c>
      <c r="BB48" s="193">
        <v>16</v>
      </c>
      <c r="BC48" s="193" t="s">
        <v>314</v>
      </c>
      <c r="BD48" s="193"/>
      <c r="BE48" s="193"/>
      <c r="BF48" s="197"/>
      <c r="BG48" s="326" t="s">
        <v>327</v>
      </c>
      <c r="BH48" s="445">
        <v>1</v>
      </c>
      <c r="BI48" s="196">
        <v>1</v>
      </c>
      <c r="BJ48" s="193" t="s">
        <v>249</v>
      </c>
      <c r="BK48" s="193"/>
      <c r="BL48" s="193">
        <v>13.8</v>
      </c>
      <c r="BM48" s="193">
        <v>96.6</v>
      </c>
      <c r="BN48" s="193" t="s">
        <v>314</v>
      </c>
      <c r="BO48" s="193"/>
      <c r="BP48" s="193"/>
      <c r="BQ48" s="197"/>
      <c r="BR48" s="326" t="s">
        <v>327</v>
      </c>
      <c r="BS48" s="452">
        <v>0</v>
      </c>
      <c r="BT48" s="198">
        <v>0</v>
      </c>
      <c r="BU48" s="198">
        <v>0</v>
      </c>
      <c r="BV48" s="198">
        <v>0</v>
      </c>
      <c r="BW48" s="198">
        <v>0</v>
      </c>
      <c r="BX48" s="198">
        <v>0</v>
      </c>
      <c r="BY48" s="198">
        <v>1</v>
      </c>
      <c r="BZ48" s="198">
        <v>0</v>
      </c>
      <c r="CA48" s="198">
        <v>0</v>
      </c>
      <c r="CB48" s="198">
        <v>0</v>
      </c>
      <c r="CC48" s="198">
        <v>0</v>
      </c>
      <c r="CD48" s="199">
        <v>0</v>
      </c>
      <c r="CE48" s="197" t="s">
        <v>441</v>
      </c>
      <c r="CF48" s="326" t="s">
        <v>327</v>
      </c>
      <c r="CG48" s="379">
        <v>0</v>
      </c>
      <c r="CH48" s="380">
        <v>1</v>
      </c>
      <c r="CI48" s="380">
        <v>0</v>
      </c>
      <c r="CJ48" s="380">
        <v>0</v>
      </c>
      <c r="CK48" s="380">
        <v>0</v>
      </c>
      <c r="CL48" s="380">
        <v>0</v>
      </c>
      <c r="CM48" s="380">
        <v>0</v>
      </c>
      <c r="CN48" s="380">
        <v>0</v>
      </c>
      <c r="CO48" s="380">
        <v>0</v>
      </c>
      <c r="CP48" s="386">
        <v>0</v>
      </c>
      <c r="CQ48" s="197" t="s">
        <v>441</v>
      </c>
      <c r="CR48" s="326" t="s">
        <v>327</v>
      </c>
      <c r="CS48" s="200">
        <f t="shared" si="225"/>
        <v>0</v>
      </c>
      <c r="CT48" s="154">
        <f t="shared" si="226"/>
        <v>0</v>
      </c>
      <c r="CU48" s="154">
        <f t="shared" si="227"/>
        <v>0</v>
      </c>
      <c r="CV48" s="154">
        <f t="shared" si="228"/>
        <v>0</v>
      </c>
      <c r="CW48" s="154">
        <f t="shared" si="229"/>
        <v>0</v>
      </c>
      <c r="CX48" s="154">
        <f t="shared" si="230"/>
        <v>0</v>
      </c>
      <c r="CY48" s="154">
        <f t="shared" si="231"/>
        <v>4219178.0821917811</v>
      </c>
      <c r="CZ48" s="154">
        <f t="shared" si="232"/>
        <v>0</v>
      </c>
      <c r="DA48" s="154">
        <f t="shared" si="233"/>
        <v>0</v>
      </c>
      <c r="DB48" s="154">
        <f t="shared" si="234"/>
        <v>0</v>
      </c>
      <c r="DC48" s="154">
        <f t="shared" si="235"/>
        <v>0</v>
      </c>
      <c r="DD48" s="154">
        <f t="shared" si="236"/>
        <v>0</v>
      </c>
      <c r="DE48" s="326"/>
      <c r="DF48" s="201">
        <f t="shared" si="237"/>
        <v>0</v>
      </c>
      <c r="DG48" s="202">
        <f t="shared" si="238"/>
        <v>4219178.0821917811</v>
      </c>
      <c r="DH48" s="202">
        <f t="shared" si="239"/>
        <v>0</v>
      </c>
      <c r="DI48" s="202">
        <f t="shared" si="240"/>
        <v>0</v>
      </c>
      <c r="DJ48" s="202">
        <f t="shared" si="241"/>
        <v>0</v>
      </c>
      <c r="DK48" s="202">
        <f t="shared" si="242"/>
        <v>0</v>
      </c>
      <c r="DL48" s="202">
        <f t="shared" si="243"/>
        <v>0</v>
      </c>
      <c r="DM48" s="202">
        <f t="shared" si="244"/>
        <v>0</v>
      </c>
      <c r="DN48" s="202">
        <f t="shared" si="245"/>
        <v>0</v>
      </c>
      <c r="DO48" s="203">
        <f t="shared" si="246"/>
        <v>0</v>
      </c>
      <c r="DP48" s="326" t="s">
        <v>327</v>
      </c>
      <c r="DQ48" s="200">
        <f t="shared" si="30"/>
        <v>0</v>
      </c>
      <c r="DR48" s="154">
        <f t="shared" si="100"/>
        <v>0</v>
      </c>
      <c r="DS48" s="154">
        <f t="shared" si="101"/>
        <v>0</v>
      </c>
      <c r="DT48" s="154">
        <f t="shared" si="102"/>
        <v>0</v>
      </c>
      <c r="DU48" s="154">
        <f t="shared" si="103"/>
        <v>0</v>
      </c>
      <c r="DV48" s="154">
        <f t="shared" si="104"/>
        <v>0</v>
      </c>
      <c r="DW48" s="154">
        <f t="shared" si="105"/>
        <v>4219178.0821917811</v>
      </c>
      <c r="DX48" s="154">
        <f t="shared" si="106"/>
        <v>0</v>
      </c>
      <c r="DY48" s="154">
        <f t="shared" si="107"/>
        <v>0</v>
      </c>
      <c r="DZ48" s="154">
        <f t="shared" si="108"/>
        <v>0</v>
      </c>
      <c r="EA48" s="154">
        <f t="shared" si="40"/>
        <v>0</v>
      </c>
      <c r="EB48" s="154">
        <f t="shared" si="109"/>
        <v>0</v>
      </c>
      <c r="EC48" s="326"/>
      <c r="ED48" s="201">
        <f t="shared" si="42"/>
        <v>0</v>
      </c>
      <c r="EE48" s="202">
        <f t="shared" si="128"/>
        <v>4219178.0821917811</v>
      </c>
      <c r="EF48" s="202">
        <f t="shared" si="129"/>
        <v>0</v>
      </c>
      <c r="EG48" s="202">
        <f t="shared" si="130"/>
        <v>0</v>
      </c>
      <c r="EH48" s="202">
        <f t="shared" si="131"/>
        <v>0</v>
      </c>
      <c r="EI48" s="202">
        <f t="shared" si="132"/>
        <v>0</v>
      </c>
      <c r="EJ48" s="202">
        <f t="shared" si="133"/>
        <v>0</v>
      </c>
      <c r="EK48" s="202">
        <f t="shared" si="134"/>
        <v>0</v>
      </c>
      <c r="EL48" s="202">
        <f t="shared" si="135"/>
        <v>0</v>
      </c>
      <c r="EM48" s="203">
        <f t="shared" si="136"/>
        <v>0</v>
      </c>
      <c r="EN48" s="326" t="s">
        <v>327</v>
      </c>
      <c r="EO48" s="200">
        <f t="shared" si="43"/>
        <v>0</v>
      </c>
      <c r="EP48" s="154">
        <f t="shared" si="110"/>
        <v>0</v>
      </c>
      <c r="EQ48" s="154">
        <f t="shared" si="111"/>
        <v>0</v>
      </c>
      <c r="ER48" s="154">
        <f t="shared" si="112"/>
        <v>0</v>
      </c>
      <c r="ES48" s="154">
        <f t="shared" si="113"/>
        <v>0</v>
      </c>
      <c r="ET48" s="154">
        <f t="shared" si="114"/>
        <v>0</v>
      </c>
      <c r="EU48" s="154">
        <f t="shared" si="115"/>
        <v>0</v>
      </c>
      <c r="EV48" s="154">
        <f t="shared" si="116"/>
        <v>0</v>
      </c>
      <c r="EW48" s="154">
        <f t="shared" si="117"/>
        <v>0</v>
      </c>
      <c r="EX48" s="154">
        <f t="shared" si="118"/>
        <v>0</v>
      </c>
      <c r="EY48" s="154">
        <f t="shared" si="53"/>
        <v>0</v>
      </c>
      <c r="EZ48" s="154">
        <f t="shared" si="119"/>
        <v>0</v>
      </c>
      <c r="FA48" s="326"/>
      <c r="FB48" s="201">
        <f t="shared" si="55"/>
        <v>0</v>
      </c>
      <c r="FC48" s="202">
        <f t="shared" si="137"/>
        <v>0</v>
      </c>
      <c r="FD48" s="202">
        <f t="shared" si="138"/>
        <v>0</v>
      </c>
      <c r="FE48" s="202">
        <f t="shared" si="139"/>
        <v>0</v>
      </c>
      <c r="FF48" s="202">
        <f t="shared" si="140"/>
        <v>0</v>
      </c>
      <c r="FG48" s="202">
        <f t="shared" si="141"/>
        <v>0</v>
      </c>
      <c r="FH48" s="202">
        <f t="shared" si="142"/>
        <v>0</v>
      </c>
      <c r="FI48" s="202">
        <f t="shared" si="143"/>
        <v>0</v>
      </c>
      <c r="FJ48" s="202">
        <f t="shared" si="144"/>
        <v>0</v>
      </c>
      <c r="FK48" s="203">
        <f t="shared" si="145"/>
        <v>0</v>
      </c>
    </row>
    <row r="49" spans="1:167" s="6" customFormat="1">
      <c r="A49" s="204" t="s">
        <v>164</v>
      </c>
      <c r="B49" s="204" t="s">
        <v>201</v>
      </c>
      <c r="C49" s="205" t="s">
        <v>134</v>
      </c>
      <c r="D49" s="206">
        <f t="shared" si="56"/>
        <v>44</v>
      </c>
      <c r="E49" s="327" t="s">
        <v>327</v>
      </c>
      <c r="F49" s="219"/>
      <c r="G49" s="219"/>
      <c r="H49" s="219"/>
      <c r="I49" s="219"/>
      <c r="J49" s="219"/>
      <c r="K49" s="219"/>
      <c r="L49" s="479"/>
      <c r="M49" s="480"/>
      <c r="N49" s="327" t="s">
        <v>327</v>
      </c>
      <c r="O49" s="433"/>
      <c r="P49" s="209"/>
      <c r="Q49" s="209"/>
      <c r="R49" s="209"/>
      <c r="S49" s="207"/>
      <c r="T49" s="207"/>
      <c r="U49" s="211"/>
      <c r="V49" s="215"/>
      <c r="W49" s="326" t="s">
        <v>327</v>
      </c>
      <c r="X49" s="436">
        <v>0</v>
      </c>
      <c r="Y49" s="207">
        <v>0</v>
      </c>
      <c r="Z49" s="207">
        <v>0</v>
      </c>
      <c r="AA49" s="207">
        <v>0</v>
      </c>
      <c r="AB49" s="207">
        <v>500000</v>
      </c>
      <c r="AC49" s="207">
        <v>0</v>
      </c>
      <c r="AD49" s="207">
        <v>500000</v>
      </c>
      <c r="AE49" s="207" t="s">
        <v>843</v>
      </c>
      <c r="AF49" s="215" t="s">
        <v>907</v>
      </c>
      <c r="AG49" s="326" t="s">
        <v>327</v>
      </c>
      <c r="AH49" s="436"/>
      <c r="AI49" s="207"/>
      <c r="AJ49" s="207"/>
      <c r="AK49" s="207">
        <f t="shared" si="254"/>
        <v>500000</v>
      </c>
      <c r="AL49" s="207"/>
      <c r="AM49" s="207"/>
      <c r="AN49" s="207">
        <f t="shared" si="0"/>
        <v>500000</v>
      </c>
      <c r="AO49" s="207" t="str">
        <f t="shared" si="255"/>
        <v>DOE estimate</v>
      </c>
      <c r="AP49" s="215" t="str">
        <f t="shared" si="256"/>
        <v>Unverified</v>
      </c>
      <c r="AQ49" s="326" t="s">
        <v>327</v>
      </c>
      <c r="AR49" s="441" t="s">
        <v>775</v>
      </c>
      <c r="AS49" s="512">
        <v>0</v>
      </c>
      <c r="AT49" s="479"/>
      <c r="AU49" s="480"/>
      <c r="AV49" s="326" t="s">
        <v>327</v>
      </c>
      <c r="AW49" s="446">
        <v>0.75</v>
      </c>
      <c r="AX49" s="214">
        <v>1</v>
      </c>
      <c r="AY49" s="211" t="s">
        <v>414</v>
      </c>
      <c r="AZ49" s="211"/>
      <c r="BA49" s="211">
        <v>24</v>
      </c>
      <c r="BB49" s="211">
        <v>18</v>
      </c>
      <c r="BC49" s="211" t="s">
        <v>272</v>
      </c>
      <c r="BD49" s="211"/>
      <c r="BE49" s="211"/>
      <c r="BF49" s="215"/>
      <c r="BG49" s="326" t="s">
        <v>327</v>
      </c>
      <c r="BH49" s="446">
        <v>0</v>
      </c>
      <c r="BI49" s="214">
        <v>0</v>
      </c>
      <c r="BJ49" s="211" t="s">
        <v>400</v>
      </c>
      <c r="BK49" s="211"/>
      <c r="BL49" s="211" t="s">
        <v>283</v>
      </c>
      <c r="BM49" s="211" t="s">
        <v>283</v>
      </c>
      <c r="BN49" s="211" t="s">
        <v>283</v>
      </c>
      <c r="BO49" s="211"/>
      <c r="BP49" s="211"/>
      <c r="BQ49" s="215"/>
      <c r="BR49" s="326" t="s">
        <v>327</v>
      </c>
      <c r="BS49" s="453">
        <v>0</v>
      </c>
      <c r="BT49" s="216">
        <v>0</v>
      </c>
      <c r="BU49" s="216">
        <v>0</v>
      </c>
      <c r="BV49" s="216">
        <v>0</v>
      </c>
      <c r="BW49" s="216">
        <v>0</v>
      </c>
      <c r="BX49" s="216">
        <v>0</v>
      </c>
      <c r="BY49" s="216">
        <v>1</v>
      </c>
      <c r="BZ49" s="216">
        <v>0</v>
      </c>
      <c r="CA49" s="216">
        <v>0</v>
      </c>
      <c r="CB49" s="216">
        <v>0</v>
      </c>
      <c r="CC49" s="216">
        <v>0</v>
      </c>
      <c r="CD49" s="217">
        <v>0</v>
      </c>
      <c r="CE49" s="215" t="s">
        <v>272</v>
      </c>
      <c r="CF49" s="326" t="s">
        <v>327</v>
      </c>
      <c r="CG49" s="377">
        <v>0</v>
      </c>
      <c r="CH49" s="378">
        <v>0</v>
      </c>
      <c r="CI49" s="378">
        <v>0</v>
      </c>
      <c r="CJ49" s="378">
        <v>0</v>
      </c>
      <c r="CK49" s="378">
        <v>0</v>
      </c>
      <c r="CL49" s="378">
        <v>0</v>
      </c>
      <c r="CM49" s="378">
        <v>0</v>
      </c>
      <c r="CN49" s="378">
        <v>0</v>
      </c>
      <c r="CO49" s="378">
        <v>0</v>
      </c>
      <c r="CP49" s="385">
        <v>0</v>
      </c>
      <c r="CQ49" s="215" t="s">
        <v>272</v>
      </c>
      <c r="CR49" s="326" t="s">
        <v>327</v>
      </c>
      <c r="CS49" s="218">
        <f t="shared" si="225"/>
        <v>0</v>
      </c>
      <c r="CT49" s="219">
        <f t="shared" si="226"/>
        <v>0</v>
      </c>
      <c r="CU49" s="219">
        <f t="shared" si="227"/>
        <v>0</v>
      </c>
      <c r="CV49" s="219">
        <f t="shared" si="228"/>
        <v>0</v>
      </c>
      <c r="CW49" s="219">
        <f t="shared" si="229"/>
        <v>0</v>
      </c>
      <c r="CX49" s="219">
        <f t="shared" si="230"/>
        <v>0</v>
      </c>
      <c r="CY49" s="219">
        <f t="shared" si="231"/>
        <v>375000</v>
      </c>
      <c r="CZ49" s="219">
        <f t="shared" si="232"/>
        <v>0</v>
      </c>
      <c r="DA49" s="219">
        <f t="shared" si="233"/>
        <v>0</v>
      </c>
      <c r="DB49" s="219">
        <f t="shared" si="234"/>
        <v>0</v>
      </c>
      <c r="DC49" s="219">
        <f t="shared" si="235"/>
        <v>0</v>
      </c>
      <c r="DD49" s="219">
        <f t="shared" si="236"/>
        <v>0</v>
      </c>
      <c r="DE49" s="326"/>
      <c r="DF49" s="220">
        <f t="shared" si="237"/>
        <v>0</v>
      </c>
      <c r="DG49" s="221">
        <f t="shared" si="238"/>
        <v>0</v>
      </c>
      <c r="DH49" s="221">
        <f t="shared" si="239"/>
        <v>0</v>
      </c>
      <c r="DI49" s="221">
        <f t="shared" si="240"/>
        <v>0</v>
      </c>
      <c r="DJ49" s="221">
        <f t="shared" si="241"/>
        <v>0</v>
      </c>
      <c r="DK49" s="221">
        <f t="shared" si="242"/>
        <v>0</v>
      </c>
      <c r="DL49" s="221">
        <f t="shared" si="243"/>
        <v>0</v>
      </c>
      <c r="DM49" s="221">
        <f t="shared" si="244"/>
        <v>0</v>
      </c>
      <c r="DN49" s="221">
        <f t="shared" si="245"/>
        <v>0</v>
      </c>
      <c r="DO49" s="222">
        <f t="shared" si="246"/>
        <v>0</v>
      </c>
      <c r="DP49" s="326" t="s">
        <v>327</v>
      </c>
      <c r="DQ49" s="218">
        <f t="shared" si="30"/>
        <v>0</v>
      </c>
      <c r="DR49" s="219">
        <f t="shared" si="100"/>
        <v>0</v>
      </c>
      <c r="DS49" s="219">
        <f t="shared" si="101"/>
        <v>0</v>
      </c>
      <c r="DT49" s="219">
        <f t="shared" si="102"/>
        <v>0</v>
      </c>
      <c r="DU49" s="219">
        <f t="shared" si="103"/>
        <v>0</v>
      </c>
      <c r="DV49" s="219">
        <f t="shared" si="104"/>
        <v>0</v>
      </c>
      <c r="DW49" s="219">
        <f t="shared" si="105"/>
        <v>375000</v>
      </c>
      <c r="DX49" s="219">
        <f t="shared" si="106"/>
        <v>0</v>
      </c>
      <c r="DY49" s="219">
        <f t="shared" si="107"/>
        <v>0</v>
      </c>
      <c r="DZ49" s="219">
        <f t="shared" si="108"/>
        <v>0</v>
      </c>
      <c r="EA49" s="219">
        <f t="shared" si="40"/>
        <v>0</v>
      </c>
      <c r="EB49" s="219">
        <f t="shared" si="109"/>
        <v>0</v>
      </c>
      <c r="EC49" s="326"/>
      <c r="ED49" s="220">
        <f t="shared" si="42"/>
        <v>0</v>
      </c>
      <c r="EE49" s="221">
        <f t="shared" si="128"/>
        <v>0</v>
      </c>
      <c r="EF49" s="221">
        <f t="shared" si="129"/>
        <v>0</v>
      </c>
      <c r="EG49" s="221">
        <f t="shared" si="130"/>
        <v>0</v>
      </c>
      <c r="EH49" s="221">
        <f t="shared" si="131"/>
        <v>0</v>
      </c>
      <c r="EI49" s="221">
        <f t="shared" si="132"/>
        <v>0</v>
      </c>
      <c r="EJ49" s="221">
        <f t="shared" si="133"/>
        <v>0</v>
      </c>
      <c r="EK49" s="221">
        <f t="shared" si="134"/>
        <v>0</v>
      </c>
      <c r="EL49" s="221">
        <f t="shared" si="135"/>
        <v>0</v>
      </c>
      <c r="EM49" s="222">
        <f t="shared" si="136"/>
        <v>0</v>
      </c>
      <c r="EN49" s="326" t="s">
        <v>327</v>
      </c>
      <c r="EO49" s="218">
        <f t="shared" si="43"/>
        <v>0</v>
      </c>
      <c r="EP49" s="219">
        <f t="shared" si="110"/>
        <v>0</v>
      </c>
      <c r="EQ49" s="219">
        <f t="shared" si="111"/>
        <v>0</v>
      </c>
      <c r="ER49" s="219">
        <f t="shared" si="112"/>
        <v>0</v>
      </c>
      <c r="ES49" s="219">
        <f t="shared" si="113"/>
        <v>0</v>
      </c>
      <c r="ET49" s="219">
        <f t="shared" si="114"/>
        <v>0</v>
      </c>
      <c r="EU49" s="219">
        <f t="shared" si="115"/>
        <v>0</v>
      </c>
      <c r="EV49" s="219">
        <f t="shared" si="116"/>
        <v>0</v>
      </c>
      <c r="EW49" s="219">
        <f t="shared" si="117"/>
        <v>0</v>
      </c>
      <c r="EX49" s="219">
        <f t="shared" si="118"/>
        <v>0</v>
      </c>
      <c r="EY49" s="219">
        <f t="shared" si="53"/>
        <v>0</v>
      </c>
      <c r="EZ49" s="219">
        <f t="shared" si="119"/>
        <v>0</v>
      </c>
      <c r="FA49" s="326"/>
      <c r="FB49" s="220">
        <f t="shared" si="55"/>
        <v>0</v>
      </c>
      <c r="FC49" s="221">
        <f t="shared" si="137"/>
        <v>0</v>
      </c>
      <c r="FD49" s="221">
        <f t="shared" si="138"/>
        <v>0</v>
      </c>
      <c r="FE49" s="221">
        <f t="shared" si="139"/>
        <v>0</v>
      </c>
      <c r="FF49" s="221">
        <f t="shared" si="140"/>
        <v>0</v>
      </c>
      <c r="FG49" s="221">
        <f t="shared" si="141"/>
        <v>0</v>
      </c>
      <c r="FH49" s="221">
        <f t="shared" si="142"/>
        <v>0</v>
      </c>
      <c r="FI49" s="221">
        <f t="shared" si="143"/>
        <v>0</v>
      </c>
      <c r="FJ49" s="221">
        <f t="shared" si="144"/>
        <v>0</v>
      </c>
      <c r="FK49" s="222">
        <f t="shared" si="145"/>
        <v>0</v>
      </c>
    </row>
    <row r="50" spans="1:167" s="6" customFormat="1">
      <c r="A50" s="186" t="s">
        <v>164</v>
      </c>
      <c r="B50" s="186" t="s">
        <v>201</v>
      </c>
      <c r="C50" s="187" t="s">
        <v>168</v>
      </c>
      <c r="D50" s="188">
        <f t="shared" si="56"/>
        <v>45</v>
      </c>
      <c r="E50" s="327" t="s">
        <v>327</v>
      </c>
      <c r="F50" s="154"/>
      <c r="G50" s="154"/>
      <c r="H50" s="154"/>
      <c r="I50" s="154"/>
      <c r="J50" s="154"/>
      <c r="K50" s="154"/>
      <c r="L50" s="481"/>
      <c r="M50" s="478"/>
      <c r="N50" s="327" t="s">
        <v>327</v>
      </c>
      <c r="O50" s="432"/>
      <c r="P50" s="191"/>
      <c r="Q50" s="191"/>
      <c r="R50" s="191"/>
      <c r="S50" s="189"/>
      <c r="T50" s="189"/>
      <c r="U50" s="193"/>
      <c r="V50" s="197"/>
      <c r="W50" s="326" t="s">
        <v>327</v>
      </c>
      <c r="X50" s="435">
        <v>0</v>
      </c>
      <c r="Y50" s="189">
        <v>0</v>
      </c>
      <c r="Z50" s="189">
        <v>1055700</v>
      </c>
      <c r="AA50" s="189">
        <v>1100000</v>
      </c>
      <c r="AB50" s="189">
        <v>1150000</v>
      </c>
      <c r="AC50" s="189">
        <v>0</v>
      </c>
      <c r="AD50" s="189">
        <v>1150000</v>
      </c>
      <c r="AE50" s="189" t="s">
        <v>923</v>
      </c>
      <c r="AF50" s="197" t="s">
        <v>327</v>
      </c>
      <c r="AG50" s="326" t="s">
        <v>327</v>
      </c>
      <c r="AH50" s="435"/>
      <c r="AI50" s="189"/>
      <c r="AJ50" s="189"/>
      <c r="AK50" s="189">
        <f t="shared" si="254"/>
        <v>1150000</v>
      </c>
      <c r="AL50" s="189"/>
      <c r="AM50" s="189"/>
      <c r="AN50" s="189">
        <f t="shared" si="0"/>
        <v>1150000</v>
      </c>
      <c r="AO50" s="189" t="str">
        <f t="shared" si="255"/>
        <v>Appliance Magazine 2009a</v>
      </c>
      <c r="AP50" s="197" t="str">
        <f t="shared" si="256"/>
        <v xml:space="preserve"> </v>
      </c>
      <c r="AQ50" s="326" t="s">
        <v>327</v>
      </c>
      <c r="AR50" s="439" t="s">
        <v>775</v>
      </c>
      <c r="AS50" s="511">
        <v>0</v>
      </c>
      <c r="AT50" s="193"/>
      <c r="AU50" s="197"/>
      <c r="AV50" s="326" t="s">
        <v>327</v>
      </c>
      <c r="AW50" s="445">
        <v>1</v>
      </c>
      <c r="AX50" s="196">
        <v>1</v>
      </c>
      <c r="AY50" s="193" t="s">
        <v>415</v>
      </c>
      <c r="AZ50" s="193"/>
      <c r="BA50" s="193">
        <v>24</v>
      </c>
      <c r="BB50" s="193">
        <v>9.6</v>
      </c>
      <c r="BC50" s="193" t="s">
        <v>272</v>
      </c>
      <c r="BD50" s="193"/>
      <c r="BE50" s="193"/>
      <c r="BF50" s="197"/>
      <c r="BG50" s="326" t="s">
        <v>327</v>
      </c>
      <c r="BH50" s="445">
        <v>0</v>
      </c>
      <c r="BI50" s="196">
        <v>0</v>
      </c>
      <c r="BJ50" s="193" t="s">
        <v>400</v>
      </c>
      <c r="BK50" s="193"/>
      <c r="BL50" s="193" t="s">
        <v>283</v>
      </c>
      <c r="BM50" s="193" t="s">
        <v>283</v>
      </c>
      <c r="BN50" s="193" t="s">
        <v>294</v>
      </c>
      <c r="BO50" s="193"/>
      <c r="BP50" s="193"/>
      <c r="BQ50" s="197"/>
      <c r="BR50" s="326" t="s">
        <v>327</v>
      </c>
      <c r="BS50" s="452">
        <v>0</v>
      </c>
      <c r="BT50" s="198">
        <v>0</v>
      </c>
      <c r="BU50" s="198">
        <v>0</v>
      </c>
      <c r="BV50" s="198">
        <v>0</v>
      </c>
      <c r="BW50" s="198">
        <v>0</v>
      </c>
      <c r="BX50" s="198">
        <v>0</v>
      </c>
      <c r="BY50" s="198">
        <v>1</v>
      </c>
      <c r="BZ50" s="198">
        <v>0</v>
      </c>
      <c r="CA50" s="198">
        <v>0</v>
      </c>
      <c r="CB50" s="198">
        <v>0</v>
      </c>
      <c r="CC50" s="198">
        <v>0</v>
      </c>
      <c r="CD50" s="199">
        <v>0</v>
      </c>
      <c r="CE50" s="197" t="s">
        <v>272</v>
      </c>
      <c r="CF50" s="326" t="s">
        <v>327</v>
      </c>
      <c r="CG50" s="379">
        <v>0</v>
      </c>
      <c r="CH50" s="380">
        <v>0</v>
      </c>
      <c r="CI50" s="380">
        <v>0</v>
      </c>
      <c r="CJ50" s="380">
        <v>0</v>
      </c>
      <c r="CK50" s="380">
        <v>0</v>
      </c>
      <c r="CL50" s="380">
        <v>0</v>
      </c>
      <c r="CM50" s="380">
        <v>0</v>
      </c>
      <c r="CN50" s="380">
        <v>0</v>
      </c>
      <c r="CO50" s="380">
        <v>0</v>
      </c>
      <c r="CP50" s="386">
        <v>0</v>
      </c>
      <c r="CQ50" s="197" t="s">
        <v>272</v>
      </c>
      <c r="CR50" s="326" t="s">
        <v>327</v>
      </c>
      <c r="CS50" s="200">
        <f t="shared" si="225"/>
        <v>0</v>
      </c>
      <c r="CT50" s="154">
        <f t="shared" si="226"/>
        <v>0</v>
      </c>
      <c r="CU50" s="154">
        <f t="shared" si="227"/>
        <v>0</v>
      </c>
      <c r="CV50" s="154">
        <f t="shared" si="228"/>
        <v>0</v>
      </c>
      <c r="CW50" s="154">
        <f t="shared" si="229"/>
        <v>0</v>
      </c>
      <c r="CX50" s="154">
        <f t="shared" si="230"/>
        <v>0</v>
      </c>
      <c r="CY50" s="154">
        <f t="shared" si="231"/>
        <v>1150000</v>
      </c>
      <c r="CZ50" s="154">
        <f t="shared" si="232"/>
        <v>0</v>
      </c>
      <c r="DA50" s="154">
        <f t="shared" si="233"/>
        <v>0</v>
      </c>
      <c r="DB50" s="154">
        <f t="shared" si="234"/>
        <v>0</v>
      </c>
      <c r="DC50" s="154">
        <f t="shared" si="235"/>
        <v>0</v>
      </c>
      <c r="DD50" s="154">
        <f t="shared" si="236"/>
        <v>0</v>
      </c>
      <c r="DE50" s="326"/>
      <c r="DF50" s="201">
        <f t="shared" si="237"/>
        <v>0</v>
      </c>
      <c r="DG50" s="202">
        <f t="shared" si="238"/>
        <v>0</v>
      </c>
      <c r="DH50" s="202">
        <f t="shared" si="239"/>
        <v>0</v>
      </c>
      <c r="DI50" s="202">
        <f t="shared" si="240"/>
        <v>0</v>
      </c>
      <c r="DJ50" s="202">
        <f t="shared" si="241"/>
        <v>0</v>
      </c>
      <c r="DK50" s="202">
        <f t="shared" si="242"/>
        <v>0</v>
      </c>
      <c r="DL50" s="202">
        <f t="shared" si="243"/>
        <v>0</v>
      </c>
      <c r="DM50" s="202">
        <f t="shared" si="244"/>
        <v>0</v>
      </c>
      <c r="DN50" s="202">
        <f t="shared" si="245"/>
        <v>0</v>
      </c>
      <c r="DO50" s="203">
        <f t="shared" si="246"/>
        <v>0</v>
      </c>
      <c r="DP50" s="326" t="s">
        <v>327</v>
      </c>
      <c r="DQ50" s="200">
        <f t="shared" si="30"/>
        <v>0</v>
      </c>
      <c r="DR50" s="154">
        <f t="shared" si="100"/>
        <v>0</v>
      </c>
      <c r="DS50" s="154">
        <f t="shared" si="101"/>
        <v>0</v>
      </c>
      <c r="DT50" s="154">
        <f t="shared" si="102"/>
        <v>0</v>
      </c>
      <c r="DU50" s="154">
        <f t="shared" si="103"/>
        <v>0</v>
      </c>
      <c r="DV50" s="154">
        <f t="shared" si="104"/>
        <v>0</v>
      </c>
      <c r="DW50" s="154">
        <f t="shared" si="105"/>
        <v>1150000</v>
      </c>
      <c r="DX50" s="154">
        <f t="shared" si="106"/>
        <v>0</v>
      </c>
      <c r="DY50" s="154">
        <f t="shared" si="107"/>
        <v>0</v>
      </c>
      <c r="DZ50" s="154">
        <f t="shared" si="108"/>
        <v>0</v>
      </c>
      <c r="EA50" s="154">
        <f t="shared" si="40"/>
        <v>0</v>
      </c>
      <c r="EB50" s="154">
        <f t="shared" si="109"/>
        <v>0</v>
      </c>
      <c r="EC50" s="326"/>
      <c r="ED50" s="201">
        <f t="shared" si="42"/>
        <v>0</v>
      </c>
      <c r="EE50" s="202">
        <f t="shared" si="128"/>
        <v>0</v>
      </c>
      <c r="EF50" s="202">
        <f t="shared" si="129"/>
        <v>0</v>
      </c>
      <c r="EG50" s="202">
        <f t="shared" si="130"/>
        <v>0</v>
      </c>
      <c r="EH50" s="202">
        <f t="shared" si="131"/>
        <v>0</v>
      </c>
      <c r="EI50" s="202">
        <f t="shared" si="132"/>
        <v>0</v>
      </c>
      <c r="EJ50" s="202">
        <f t="shared" si="133"/>
        <v>0</v>
      </c>
      <c r="EK50" s="202">
        <f t="shared" si="134"/>
        <v>0</v>
      </c>
      <c r="EL50" s="202">
        <f t="shared" si="135"/>
        <v>0</v>
      </c>
      <c r="EM50" s="203">
        <f t="shared" si="136"/>
        <v>0</v>
      </c>
      <c r="EN50" s="326" t="s">
        <v>327</v>
      </c>
      <c r="EO50" s="200">
        <f t="shared" si="43"/>
        <v>0</v>
      </c>
      <c r="EP50" s="154">
        <f t="shared" si="110"/>
        <v>0</v>
      </c>
      <c r="EQ50" s="154">
        <f t="shared" si="111"/>
        <v>0</v>
      </c>
      <c r="ER50" s="154">
        <f t="shared" si="112"/>
        <v>0</v>
      </c>
      <c r="ES50" s="154">
        <f t="shared" si="113"/>
        <v>0</v>
      </c>
      <c r="ET50" s="154">
        <f t="shared" si="114"/>
        <v>0</v>
      </c>
      <c r="EU50" s="154">
        <f t="shared" si="115"/>
        <v>0</v>
      </c>
      <c r="EV50" s="154">
        <f t="shared" si="116"/>
        <v>0</v>
      </c>
      <c r="EW50" s="154">
        <f t="shared" si="117"/>
        <v>0</v>
      </c>
      <c r="EX50" s="154">
        <f t="shared" si="118"/>
        <v>0</v>
      </c>
      <c r="EY50" s="154">
        <f t="shared" si="53"/>
        <v>0</v>
      </c>
      <c r="EZ50" s="154">
        <f t="shared" si="119"/>
        <v>0</v>
      </c>
      <c r="FA50" s="326"/>
      <c r="FB50" s="201">
        <f t="shared" si="55"/>
        <v>0</v>
      </c>
      <c r="FC50" s="202">
        <f t="shared" si="137"/>
        <v>0</v>
      </c>
      <c r="FD50" s="202">
        <f t="shared" si="138"/>
        <v>0</v>
      </c>
      <c r="FE50" s="202">
        <f t="shared" si="139"/>
        <v>0</v>
      </c>
      <c r="FF50" s="202">
        <f t="shared" si="140"/>
        <v>0</v>
      </c>
      <c r="FG50" s="202">
        <f t="shared" si="141"/>
        <v>0</v>
      </c>
      <c r="FH50" s="202">
        <f t="shared" si="142"/>
        <v>0</v>
      </c>
      <c r="FI50" s="202">
        <f t="shared" si="143"/>
        <v>0</v>
      </c>
      <c r="FJ50" s="202">
        <f t="shared" si="144"/>
        <v>0</v>
      </c>
      <c r="FK50" s="203">
        <f t="shared" si="145"/>
        <v>0</v>
      </c>
    </row>
    <row r="51" spans="1:167" s="6" customFormat="1">
      <c r="A51" s="204" t="s">
        <v>164</v>
      </c>
      <c r="B51" s="204" t="s">
        <v>166</v>
      </c>
      <c r="C51" s="205" t="s">
        <v>228</v>
      </c>
      <c r="D51" s="206">
        <f t="shared" si="56"/>
        <v>46</v>
      </c>
      <c r="E51" s="327" t="s">
        <v>327</v>
      </c>
      <c r="F51" s="219"/>
      <c r="G51" s="219"/>
      <c r="H51" s="219"/>
      <c r="I51" s="219"/>
      <c r="J51" s="219"/>
      <c r="K51" s="219"/>
      <c r="L51" s="479"/>
      <c r="M51" s="480"/>
      <c r="N51" s="327" t="s">
        <v>327</v>
      </c>
      <c r="O51" s="209"/>
      <c r="P51" s="209"/>
      <c r="Q51" s="209"/>
      <c r="R51" s="209"/>
      <c r="S51" s="207"/>
      <c r="T51" s="207"/>
      <c r="U51" s="211"/>
      <c r="V51" s="211"/>
      <c r="W51" s="326" t="s">
        <v>327</v>
      </c>
      <c r="X51" s="207">
        <v>0</v>
      </c>
      <c r="Y51" s="207">
        <v>1180000</v>
      </c>
      <c r="Z51" s="207">
        <v>1262200</v>
      </c>
      <c r="AA51" s="207">
        <v>1250000</v>
      </c>
      <c r="AB51" s="207">
        <v>1225000</v>
      </c>
      <c r="AC51" s="207">
        <v>0</v>
      </c>
      <c r="AD51" s="207">
        <v>1225000</v>
      </c>
      <c r="AE51" s="207" t="s">
        <v>923</v>
      </c>
      <c r="AF51" s="211" t="s">
        <v>327</v>
      </c>
      <c r="AG51" s="326" t="s">
        <v>327</v>
      </c>
      <c r="AH51" s="207"/>
      <c r="AI51" s="207"/>
      <c r="AJ51" s="207"/>
      <c r="AK51" s="207">
        <f t="shared" si="254"/>
        <v>1225000</v>
      </c>
      <c r="AL51" s="207"/>
      <c r="AM51" s="207"/>
      <c r="AN51" s="207">
        <f t="shared" si="0"/>
        <v>1225000</v>
      </c>
      <c r="AO51" s="207" t="str">
        <f t="shared" si="255"/>
        <v>Appliance Magazine 2009a</v>
      </c>
      <c r="AP51" s="211" t="str">
        <f t="shared" si="256"/>
        <v xml:space="preserve"> </v>
      </c>
      <c r="AQ51" s="326" t="s">
        <v>327</v>
      </c>
      <c r="AR51" s="212" t="s">
        <v>775</v>
      </c>
      <c r="AS51" s="512">
        <v>0</v>
      </c>
      <c r="AT51" s="211"/>
      <c r="AU51" s="211"/>
      <c r="AV51" s="326" t="s">
        <v>327</v>
      </c>
      <c r="AW51" s="213">
        <v>0.05</v>
      </c>
      <c r="AX51" s="214">
        <v>1</v>
      </c>
      <c r="AY51" s="211" t="s">
        <v>249</v>
      </c>
      <c r="AZ51" s="211" t="s">
        <v>950</v>
      </c>
      <c r="BA51" s="211"/>
      <c r="BB51" s="211"/>
      <c r="BC51" s="211"/>
      <c r="BD51" s="211"/>
      <c r="BE51" s="211"/>
      <c r="BF51" s="215"/>
      <c r="BG51" s="326" t="s">
        <v>327</v>
      </c>
      <c r="BH51" s="213">
        <v>0.05</v>
      </c>
      <c r="BI51" s="214">
        <v>1</v>
      </c>
      <c r="BJ51" s="211" t="s">
        <v>218</v>
      </c>
      <c r="BK51" s="211"/>
      <c r="BL51" s="211"/>
      <c r="BM51" s="211"/>
      <c r="BN51" s="211"/>
      <c r="BO51" s="211"/>
      <c r="BP51" s="211"/>
      <c r="BQ51" s="211"/>
      <c r="BR51" s="326" t="s">
        <v>327</v>
      </c>
      <c r="BS51" s="216">
        <v>0</v>
      </c>
      <c r="BT51" s="216">
        <v>0</v>
      </c>
      <c r="BU51" s="216">
        <v>0</v>
      </c>
      <c r="BV51" s="216">
        <v>0</v>
      </c>
      <c r="BW51" s="216">
        <v>0</v>
      </c>
      <c r="BX51" s="216">
        <v>1</v>
      </c>
      <c r="BY51" s="216">
        <v>0</v>
      </c>
      <c r="BZ51" s="216">
        <v>0</v>
      </c>
      <c r="CA51" s="216">
        <v>0</v>
      </c>
      <c r="CB51" s="216">
        <v>0</v>
      </c>
      <c r="CC51" s="216">
        <v>0</v>
      </c>
      <c r="CD51" s="217">
        <v>0</v>
      </c>
      <c r="CE51" s="211" t="s">
        <v>249</v>
      </c>
      <c r="CF51" s="326" t="s">
        <v>327</v>
      </c>
      <c r="CG51" s="377">
        <v>0</v>
      </c>
      <c r="CH51" s="378">
        <v>0</v>
      </c>
      <c r="CI51" s="378">
        <v>1</v>
      </c>
      <c r="CJ51" s="378">
        <v>0</v>
      </c>
      <c r="CK51" s="378">
        <v>0</v>
      </c>
      <c r="CL51" s="378">
        <v>0</v>
      </c>
      <c r="CM51" s="378">
        <v>0</v>
      </c>
      <c r="CN51" s="378">
        <v>0</v>
      </c>
      <c r="CO51" s="378">
        <v>0</v>
      </c>
      <c r="CP51" s="385">
        <v>0</v>
      </c>
      <c r="CQ51" s="211" t="s">
        <v>249</v>
      </c>
      <c r="CR51" s="326" t="s">
        <v>327</v>
      </c>
      <c r="CS51" s="218">
        <f t="shared" si="225"/>
        <v>0</v>
      </c>
      <c r="CT51" s="219">
        <f t="shared" si="226"/>
        <v>0</v>
      </c>
      <c r="CU51" s="219">
        <f t="shared" si="227"/>
        <v>0</v>
      </c>
      <c r="CV51" s="219">
        <f t="shared" si="228"/>
        <v>0</v>
      </c>
      <c r="CW51" s="219">
        <f t="shared" si="229"/>
        <v>0</v>
      </c>
      <c r="CX51" s="219">
        <f t="shared" si="230"/>
        <v>61250</v>
      </c>
      <c r="CY51" s="219">
        <f t="shared" si="231"/>
        <v>0</v>
      </c>
      <c r="CZ51" s="219">
        <f t="shared" si="232"/>
        <v>0</v>
      </c>
      <c r="DA51" s="219">
        <f t="shared" si="233"/>
        <v>0</v>
      </c>
      <c r="DB51" s="219">
        <f t="shared" si="234"/>
        <v>0</v>
      </c>
      <c r="DC51" s="219">
        <f t="shared" si="235"/>
        <v>0</v>
      </c>
      <c r="DD51" s="219">
        <f t="shared" si="236"/>
        <v>0</v>
      </c>
      <c r="DE51" s="326"/>
      <c r="DF51" s="220">
        <f t="shared" si="237"/>
        <v>0</v>
      </c>
      <c r="DG51" s="221">
        <f t="shared" si="238"/>
        <v>0</v>
      </c>
      <c r="DH51" s="221">
        <f t="shared" si="239"/>
        <v>61250</v>
      </c>
      <c r="DI51" s="221">
        <f t="shared" si="240"/>
        <v>0</v>
      </c>
      <c r="DJ51" s="221">
        <f t="shared" si="241"/>
        <v>0</v>
      </c>
      <c r="DK51" s="221">
        <f t="shared" si="242"/>
        <v>0</v>
      </c>
      <c r="DL51" s="221">
        <f t="shared" si="243"/>
        <v>0</v>
      </c>
      <c r="DM51" s="221">
        <f t="shared" si="244"/>
        <v>0</v>
      </c>
      <c r="DN51" s="221">
        <f t="shared" si="245"/>
        <v>0</v>
      </c>
      <c r="DO51" s="222">
        <f t="shared" si="246"/>
        <v>0</v>
      </c>
      <c r="DP51" s="326" t="s">
        <v>327</v>
      </c>
      <c r="DQ51" s="218">
        <f t="shared" si="30"/>
        <v>0</v>
      </c>
      <c r="DR51" s="219">
        <f t="shared" si="100"/>
        <v>0</v>
      </c>
      <c r="DS51" s="219">
        <f t="shared" si="101"/>
        <v>0</v>
      </c>
      <c r="DT51" s="219">
        <f t="shared" si="102"/>
        <v>0</v>
      </c>
      <c r="DU51" s="219">
        <f t="shared" si="103"/>
        <v>0</v>
      </c>
      <c r="DV51" s="219">
        <f t="shared" si="104"/>
        <v>61250</v>
      </c>
      <c r="DW51" s="219">
        <f t="shared" si="105"/>
        <v>0</v>
      </c>
      <c r="DX51" s="219">
        <f t="shared" si="106"/>
        <v>0</v>
      </c>
      <c r="DY51" s="219">
        <f t="shared" si="107"/>
        <v>0</v>
      </c>
      <c r="DZ51" s="219">
        <f t="shared" si="108"/>
        <v>0</v>
      </c>
      <c r="EA51" s="219">
        <f t="shared" si="40"/>
        <v>0</v>
      </c>
      <c r="EB51" s="219">
        <f t="shared" si="109"/>
        <v>0</v>
      </c>
      <c r="EC51" s="326"/>
      <c r="ED51" s="220">
        <f t="shared" si="42"/>
        <v>0</v>
      </c>
      <c r="EE51" s="221">
        <f t="shared" si="128"/>
        <v>0</v>
      </c>
      <c r="EF51" s="221">
        <f t="shared" si="129"/>
        <v>61250</v>
      </c>
      <c r="EG51" s="221">
        <f t="shared" si="130"/>
        <v>0</v>
      </c>
      <c r="EH51" s="221">
        <f t="shared" si="131"/>
        <v>0</v>
      </c>
      <c r="EI51" s="221">
        <f t="shared" si="132"/>
        <v>0</v>
      </c>
      <c r="EJ51" s="221">
        <f t="shared" si="133"/>
        <v>0</v>
      </c>
      <c r="EK51" s="221">
        <f t="shared" si="134"/>
        <v>0</v>
      </c>
      <c r="EL51" s="221">
        <f t="shared" si="135"/>
        <v>0</v>
      </c>
      <c r="EM51" s="222">
        <f t="shared" si="136"/>
        <v>0</v>
      </c>
      <c r="EN51" s="326" t="s">
        <v>327</v>
      </c>
      <c r="EO51" s="218">
        <f t="shared" si="43"/>
        <v>0</v>
      </c>
      <c r="EP51" s="219">
        <f t="shared" si="110"/>
        <v>0</v>
      </c>
      <c r="EQ51" s="219">
        <f t="shared" si="111"/>
        <v>0</v>
      </c>
      <c r="ER51" s="219">
        <f t="shared" si="112"/>
        <v>0</v>
      </c>
      <c r="ES51" s="219">
        <f t="shared" si="113"/>
        <v>0</v>
      </c>
      <c r="ET51" s="219">
        <f t="shared" si="114"/>
        <v>0</v>
      </c>
      <c r="EU51" s="219">
        <f t="shared" si="115"/>
        <v>0</v>
      </c>
      <c r="EV51" s="219">
        <f t="shared" si="116"/>
        <v>0</v>
      </c>
      <c r="EW51" s="219">
        <f t="shared" si="117"/>
        <v>0</v>
      </c>
      <c r="EX51" s="219">
        <f t="shared" si="118"/>
        <v>0</v>
      </c>
      <c r="EY51" s="219">
        <f t="shared" si="53"/>
        <v>0</v>
      </c>
      <c r="EZ51" s="219">
        <f t="shared" si="119"/>
        <v>0</v>
      </c>
      <c r="FA51" s="326"/>
      <c r="FB51" s="220">
        <f t="shared" si="55"/>
        <v>0</v>
      </c>
      <c r="FC51" s="221">
        <f t="shared" si="137"/>
        <v>0</v>
      </c>
      <c r="FD51" s="221">
        <f t="shared" si="138"/>
        <v>0</v>
      </c>
      <c r="FE51" s="221">
        <f t="shared" si="139"/>
        <v>0</v>
      </c>
      <c r="FF51" s="221">
        <f t="shared" si="140"/>
        <v>0</v>
      </c>
      <c r="FG51" s="221">
        <f t="shared" si="141"/>
        <v>0</v>
      </c>
      <c r="FH51" s="221">
        <f t="shared" si="142"/>
        <v>0</v>
      </c>
      <c r="FI51" s="221">
        <f t="shared" si="143"/>
        <v>0</v>
      </c>
      <c r="FJ51" s="221">
        <f t="shared" si="144"/>
        <v>0</v>
      </c>
      <c r="FK51" s="222">
        <f t="shared" si="145"/>
        <v>0</v>
      </c>
    </row>
    <row r="52" spans="1:167" s="6" customFormat="1" ht="13.5" customHeight="1">
      <c r="A52" s="186" t="s">
        <v>164</v>
      </c>
      <c r="B52" s="186" t="s">
        <v>166</v>
      </c>
      <c r="C52" s="187" t="s">
        <v>229</v>
      </c>
      <c r="D52" s="188">
        <f t="shared" si="56"/>
        <v>47</v>
      </c>
      <c r="E52" s="327" t="s">
        <v>327</v>
      </c>
      <c r="F52" s="154"/>
      <c r="G52" s="154"/>
      <c r="H52" s="154"/>
      <c r="I52" s="154"/>
      <c r="J52" s="154"/>
      <c r="K52" s="154"/>
      <c r="L52" s="481"/>
      <c r="M52" s="478"/>
      <c r="N52" s="327" t="s">
        <v>327</v>
      </c>
      <c r="O52" s="432"/>
      <c r="P52" s="191"/>
      <c r="Q52" s="154"/>
      <c r="R52" s="154"/>
      <c r="S52" s="154"/>
      <c r="T52" s="189"/>
      <c r="U52" s="481"/>
      <c r="V52" s="478"/>
      <c r="W52" s="326" t="s">
        <v>327</v>
      </c>
      <c r="X52" s="435">
        <v>0</v>
      </c>
      <c r="Y52" s="189">
        <v>5677000</v>
      </c>
      <c r="Z52" s="189">
        <v>5845000</v>
      </c>
      <c r="AA52" s="189">
        <v>5761000</v>
      </c>
      <c r="AB52" s="189">
        <v>5703390</v>
      </c>
      <c r="AC52" s="189">
        <v>0</v>
      </c>
      <c r="AD52" s="189">
        <v>5703390</v>
      </c>
      <c r="AE52" s="189" t="s">
        <v>923</v>
      </c>
      <c r="AF52" s="197" t="s">
        <v>327</v>
      </c>
      <c r="AG52" s="326" t="s">
        <v>327</v>
      </c>
      <c r="AH52" s="435"/>
      <c r="AI52" s="189"/>
      <c r="AJ52" s="189"/>
      <c r="AK52" s="189">
        <f t="shared" si="254"/>
        <v>5703390</v>
      </c>
      <c r="AL52" s="189"/>
      <c r="AM52" s="189"/>
      <c r="AN52" s="189">
        <f t="shared" si="0"/>
        <v>5703390</v>
      </c>
      <c r="AO52" s="189" t="str">
        <f t="shared" si="255"/>
        <v>Appliance Magazine 2009a</v>
      </c>
      <c r="AP52" s="197" t="str">
        <f t="shared" si="256"/>
        <v xml:space="preserve"> </v>
      </c>
      <c r="AQ52" s="326" t="s">
        <v>327</v>
      </c>
      <c r="AR52" s="439" t="s">
        <v>775</v>
      </c>
      <c r="AS52" s="511">
        <v>0</v>
      </c>
      <c r="AT52" s="193"/>
      <c r="AU52" s="197"/>
      <c r="AV52" s="326" t="s">
        <v>327</v>
      </c>
      <c r="AW52" s="445">
        <v>0.05</v>
      </c>
      <c r="AX52" s="196">
        <v>1</v>
      </c>
      <c r="AY52" s="193" t="s">
        <v>249</v>
      </c>
      <c r="AZ52" s="193" t="s">
        <v>950</v>
      </c>
      <c r="BA52" s="193"/>
      <c r="BB52" s="193"/>
      <c r="BC52" s="193"/>
      <c r="BD52" s="193"/>
      <c r="BE52" s="193"/>
      <c r="BF52" s="197"/>
      <c r="BG52" s="326" t="s">
        <v>327</v>
      </c>
      <c r="BH52" s="445">
        <v>0.05</v>
      </c>
      <c r="BI52" s="196">
        <v>1</v>
      </c>
      <c r="BJ52" s="193" t="s">
        <v>218</v>
      </c>
      <c r="BK52" s="193"/>
      <c r="BL52" s="193">
        <v>2.4</v>
      </c>
      <c r="BM52" s="193">
        <v>1.8</v>
      </c>
      <c r="BN52" s="193" t="s">
        <v>328</v>
      </c>
      <c r="BO52" s="193"/>
      <c r="BP52" s="193"/>
      <c r="BQ52" s="197"/>
      <c r="BR52" s="326" t="s">
        <v>327</v>
      </c>
      <c r="BS52" s="452">
        <v>0</v>
      </c>
      <c r="BT52" s="198">
        <v>0</v>
      </c>
      <c r="BU52" s="198">
        <v>0</v>
      </c>
      <c r="BV52" s="198">
        <v>0</v>
      </c>
      <c r="BW52" s="198">
        <v>0</v>
      </c>
      <c r="BX52" s="198">
        <v>1</v>
      </c>
      <c r="BY52" s="198">
        <v>0</v>
      </c>
      <c r="BZ52" s="198">
        <v>0</v>
      </c>
      <c r="CA52" s="198">
        <v>0</v>
      </c>
      <c r="CB52" s="198">
        <v>0</v>
      </c>
      <c r="CC52" s="198">
        <v>0</v>
      </c>
      <c r="CD52" s="199">
        <v>0</v>
      </c>
      <c r="CE52" s="197" t="s">
        <v>397</v>
      </c>
      <c r="CF52" s="326" t="s">
        <v>327</v>
      </c>
      <c r="CG52" s="379">
        <v>0</v>
      </c>
      <c r="CH52" s="380">
        <v>1</v>
      </c>
      <c r="CI52" s="380">
        <v>0</v>
      </c>
      <c r="CJ52" s="380">
        <v>0</v>
      </c>
      <c r="CK52" s="380">
        <v>0</v>
      </c>
      <c r="CL52" s="380">
        <v>0</v>
      </c>
      <c r="CM52" s="380">
        <v>0</v>
      </c>
      <c r="CN52" s="380">
        <v>0</v>
      </c>
      <c r="CO52" s="380">
        <v>0</v>
      </c>
      <c r="CP52" s="386">
        <v>0</v>
      </c>
      <c r="CQ52" s="197" t="s">
        <v>397</v>
      </c>
      <c r="CR52" s="326" t="s">
        <v>327</v>
      </c>
      <c r="CS52" s="200">
        <f t="shared" si="225"/>
        <v>0</v>
      </c>
      <c r="CT52" s="154">
        <f t="shared" si="226"/>
        <v>0</v>
      </c>
      <c r="CU52" s="154">
        <f t="shared" si="227"/>
        <v>0</v>
      </c>
      <c r="CV52" s="154">
        <f t="shared" si="228"/>
        <v>0</v>
      </c>
      <c r="CW52" s="154">
        <f t="shared" si="229"/>
        <v>0</v>
      </c>
      <c r="CX52" s="154">
        <f t="shared" si="230"/>
        <v>285169.5</v>
      </c>
      <c r="CY52" s="154">
        <f t="shared" si="231"/>
        <v>0</v>
      </c>
      <c r="CZ52" s="154">
        <f t="shared" si="232"/>
        <v>0</v>
      </c>
      <c r="DA52" s="154">
        <f t="shared" si="233"/>
        <v>0</v>
      </c>
      <c r="DB52" s="154">
        <f t="shared" si="234"/>
        <v>0</v>
      </c>
      <c r="DC52" s="154">
        <f t="shared" si="235"/>
        <v>0</v>
      </c>
      <c r="DD52" s="154">
        <f t="shared" si="236"/>
        <v>0</v>
      </c>
      <c r="DE52" s="326"/>
      <c r="DF52" s="201">
        <f t="shared" si="237"/>
        <v>0</v>
      </c>
      <c r="DG52" s="202">
        <f t="shared" si="238"/>
        <v>285169.5</v>
      </c>
      <c r="DH52" s="202">
        <f t="shared" si="239"/>
        <v>0</v>
      </c>
      <c r="DI52" s="202">
        <f t="shared" si="240"/>
        <v>0</v>
      </c>
      <c r="DJ52" s="202">
        <f t="shared" si="241"/>
        <v>0</v>
      </c>
      <c r="DK52" s="202">
        <f t="shared" si="242"/>
        <v>0</v>
      </c>
      <c r="DL52" s="202">
        <f t="shared" si="243"/>
        <v>0</v>
      </c>
      <c r="DM52" s="202">
        <f t="shared" si="244"/>
        <v>0</v>
      </c>
      <c r="DN52" s="202">
        <f t="shared" si="245"/>
        <v>0</v>
      </c>
      <c r="DO52" s="203">
        <f t="shared" si="246"/>
        <v>0</v>
      </c>
      <c r="DP52" s="326" t="s">
        <v>327</v>
      </c>
      <c r="DQ52" s="200">
        <f t="shared" si="30"/>
        <v>0</v>
      </c>
      <c r="DR52" s="154">
        <f t="shared" si="100"/>
        <v>0</v>
      </c>
      <c r="DS52" s="154">
        <f t="shared" si="101"/>
        <v>0</v>
      </c>
      <c r="DT52" s="154">
        <f t="shared" si="102"/>
        <v>0</v>
      </c>
      <c r="DU52" s="154">
        <f t="shared" si="103"/>
        <v>0</v>
      </c>
      <c r="DV52" s="154">
        <f t="shared" si="104"/>
        <v>285169.5</v>
      </c>
      <c r="DW52" s="154">
        <f t="shared" si="105"/>
        <v>0</v>
      </c>
      <c r="DX52" s="154">
        <f t="shared" si="106"/>
        <v>0</v>
      </c>
      <c r="DY52" s="154">
        <f t="shared" si="107"/>
        <v>0</v>
      </c>
      <c r="DZ52" s="154">
        <f t="shared" si="108"/>
        <v>0</v>
      </c>
      <c r="EA52" s="154">
        <f t="shared" si="40"/>
        <v>0</v>
      </c>
      <c r="EB52" s="154">
        <f t="shared" si="109"/>
        <v>0</v>
      </c>
      <c r="EC52" s="326"/>
      <c r="ED52" s="201">
        <f t="shared" si="42"/>
        <v>0</v>
      </c>
      <c r="EE52" s="202">
        <f t="shared" si="128"/>
        <v>285169.5</v>
      </c>
      <c r="EF52" s="202">
        <f t="shared" si="129"/>
        <v>0</v>
      </c>
      <c r="EG52" s="202">
        <f t="shared" si="130"/>
        <v>0</v>
      </c>
      <c r="EH52" s="202">
        <f t="shared" si="131"/>
        <v>0</v>
      </c>
      <c r="EI52" s="202">
        <f t="shared" si="132"/>
        <v>0</v>
      </c>
      <c r="EJ52" s="202">
        <f t="shared" si="133"/>
        <v>0</v>
      </c>
      <c r="EK52" s="202">
        <f t="shared" si="134"/>
        <v>0</v>
      </c>
      <c r="EL52" s="202">
        <f t="shared" si="135"/>
        <v>0</v>
      </c>
      <c r="EM52" s="203">
        <f t="shared" si="136"/>
        <v>0</v>
      </c>
      <c r="EN52" s="326" t="s">
        <v>327</v>
      </c>
      <c r="EO52" s="200">
        <f t="shared" si="43"/>
        <v>0</v>
      </c>
      <c r="EP52" s="154">
        <f t="shared" si="110"/>
        <v>0</v>
      </c>
      <c r="EQ52" s="154">
        <f t="shared" si="111"/>
        <v>0</v>
      </c>
      <c r="ER52" s="154">
        <f t="shared" si="112"/>
        <v>0</v>
      </c>
      <c r="ES52" s="154">
        <f t="shared" si="113"/>
        <v>0</v>
      </c>
      <c r="ET52" s="154">
        <f t="shared" si="114"/>
        <v>0</v>
      </c>
      <c r="EU52" s="154">
        <f t="shared" si="115"/>
        <v>0</v>
      </c>
      <c r="EV52" s="154">
        <f t="shared" si="116"/>
        <v>0</v>
      </c>
      <c r="EW52" s="154">
        <f t="shared" si="117"/>
        <v>0</v>
      </c>
      <c r="EX52" s="154">
        <f t="shared" si="118"/>
        <v>0</v>
      </c>
      <c r="EY52" s="154">
        <f t="shared" si="53"/>
        <v>0</v>
      </c>
      <c r="EZ52" s="154">
        <f t="shared" si="119"/>
        <v>0</v>
      </c>
      <c r="FA52" s="326"/>
      <c r="FB52" s="201">
        <f t="shared" si="55"/>
        <v>0</v>
      </c>
      <c r="FC52" s="202">
        <f t="shared" si="137"/>
        <v>0</v>
      </c>
      <c r="FD52" s="202">
        <f t="shared" si="138"/>
        <v>0</v>
      </c>
      <c r="FE52" s="202">
        <f t="shared" si="139"/>
        <v>0</v>
      </c>
      <c r="FF52" s="202">
        <f t="shared" si="140"/>
        <v>0</v>
      </c>
      <c r="FG52" s="202">
        <f t="shared" si="141"/>
        <v>0</v>
      </c>
      <c r="FH52" s="202">
        <f t="shared" si="142"/>
        <v>0</v>
      </c>
      <c r="FI52" s="202">
        <f t="shared" si="143"/>
        <v>0</v>
      </c>
      <c r="FJ52" s="202">
        <f t="shared" si="144"/>
        <v>0</v>
      </c>
      <c r="FK52" s="203">
        <f t="shared" si="145"/>
        <v>0</v>
      </c>
    </row>
    <row r="53" spans="1:167" s="6" customFormat="1">
      <c r="A53" s="204" t="s">
        <v>164</v>
      </c>
      <c r="B53" s="204" t="s">
        <v>166</v>
      </c>
      <c r="C53" s="205" t="s">
        <v>230</v>
      </c>
      <c r="D53" s="206">
        <f t="shared" si="56"/>
        <v>48</v>
      </c>
      <c r="E53" s="327" t="s">
        <v>327</v>
      </c>
      <c r="F53" s="219"/>
      <c r="G53" s="219"/>
      <c r="H53" s="219"/>
      <c r="I53" s="219"/>
      <c r="J53" s="219"/>
      <c r="K53" s="219"/>
      <c r="L53" s="479"/>
      <c r="M53" s="480"/>
      <c r="N53" s="327" t="s">
        <v>327</v>
      </c>
      <c r="O53" s="433"/>
      <c r="P53" s="209"/>
      <c r="Q53" s="207"/>
      <c r="R53" s="207"/>
      <c r="S53" s="207"/>
      <c r="T53" s="207"/>
      <c r="U53" s="479"/>
      <c r="V53" s="480"/>
      <c r="W53" s="326" t="s">
        <v>327</v>
      </c>
      <c r="X53" s="436">
        <v>0</v>
      </c>
      <c r="Y53" s="207">
        <v>5718000</v>
      </c>
      <c r="Z53" s="207">
        <v>5798000</v>
      </c>
      <c r="AA53" s="207">
        <v>5800000</v>
      </c>
      <c r="AB53" s="207">
        <v>5773032</v>
      </c>
      <c r="AC53" s="207">
        <v>0</v>
      </c>
      <c r="AD53" s="207">
        <v>5773032</v>
      </c>
      <c r="AE53" s="207" t="s">
        <v>923</v>
      </c>
      <c r="AF53" s="215" t="s">
        <v>327</v>
      </c>
      <c r="AG53" s="326" t="s">
        <v>327</v>
      </c>
      <c r="AH53" s="436"/>
      <c r="AI53" s="207"/>
      <c r="AJ53" s="207"/>
      <c r="AK53" s="207">
        <f t="shared" si="254"/>
        <v>5773032</v>
      </c>
      <c r="AL53" s="207"/>
      <c r="AM53" s="207"/>
      <c r="AN53" s="207">
        <f t="shared" si="0"/>
        <v>5773032</v>
      </c>
      <c r="AO53" s="207" t="str">
        <f t="shared" si="255"/>
        <v>Appliance Magazine 2009a</v>
      </c>
      <c r="AP53" s="215" t="str">
        <f t="shared" si="256"/>
        <v xml:space="preserve"> </v>
      </c>
      <c r="AQ53" s="326" t="s">
        <v>327</v>
      </c>
      <c r="AR53" s="441" t="s">
        <v>775</v>
      </c>
      <c r="AS53" s="512">
        <v>0</v>
      </c>
      <c r="AT53" s="211"/>
      <c r="AU53" s="215"/>
      <c r="AV53" s="326" t="s">
        <v>327</v>
      </c>
      <c r="AW53" s="446">
        <v>0.01</v>
      </c>
      <c r="AX53" s="214">
        <v>1</v>
      </c>
      <c r="AY53" s="479" t="s">
        <v>249</v>
      </c>
      <c r="AZ53" s="211" t="s">
        <v>950</v>
      </c>
      <c r="BA53" s="211"/>
      <c r="BB53" s="211"/>
      <c r="BC53" s="211"/>
      <c r="BD53" s="211"/>
      <c r="BE53" s="211"/>
      <c r="BF53" s="215"/>
      <c r="BG53" s="326" t="s">
        <v>327</v>
      </c>
      <c r="BH53" s="446">
        <v>0.01</v>
      </c>
      <c r="BI53" s="214">
        <v>1</v>
      </c>
      <c r="BJ53" s="211" t="s">
        <v>218</v>
      </c>
      <c r="BK53" s="211"/>
      <c r="BL53" s="211"/>
      <c r="BM53" s="211"/>
      <c r="BN53" s="211"/>
      <c r="BO53" s="211"/>
      <c r="BP53" s="211"/>
      <c r="BQ53" s="215"/>
      <c r="BR53" s="326" t="s">
        <v>327</v>
      </c>
      <c r="BS53" s="453">
        <v>0</v>
      </c>
      <c r="BT53" s="216">
        <v>0</v>
      </c>
      <c r="BU53" s="216">
        <v>0</v>
      </c>
      <c r="BV53" s="216">
        <v>0</v>
      </c>
      <c r="BW53" s="216">
        <v>0</v>
      </c>
      <c r="BX53" s="216">
        <v>1</v>
      </c>
      <c r="BY53" s="216">
        <v>0</v>
      </c>
      <c r="BZ53" s="216">
        <v>0</v>
      </c>
      <c r="CA53" s="216">
        <v>0</v>
      </c>
      <c r="CB53" s="216">
        <v>0</v>
      </c>
      <c r="CC53" s="216">
        <v>0</v>
      </c>
      <c r="CD53" s="217">
        <v>0</v>
      </c>
      <c r="CE53" s="215" t="s">
        <v>249</v>
      </c>
      <c r="CF53" s="326" t="s">
        <v>327</v>
      </c>
      <c r="CG53" s="377">
        <v>0</v>
      </c>
      <c r="CH53" s="378">
        <v>0</v>
      </c>
      <c r="CI53" s="378">
        <v>1</v>
      </c>
      <c r="CJ53" s="378">
        <v>0</v>
      </c>
      <c r="CK53" s="378">
        <v>0</v>
      </c>
      <c r="CL53" s="378">
        <v>0</v>
      </c>
      <c r="CM53" s="378">
        <v>0</v>
      </c>
      <c r="CN53" s="378">
        <v>0</v>
      </c>
      <c r="CO53" s="378">
        <v>0</v>
      </c>
      <c r="CP53" s="385">
        <v>0</v>
      </c>
      <c r="CQ53" s="215" t="s">
        <v>249</v>
      </c>
      <c r="CR53" s="326" t="s">
        <v>327</v>
      </c>
      <c r="CS53" s="218">
        <f t="shared" si="225"/>
        <v>0</v>
      </c>
      <c r="CT53" s="219">
        <f t="shared" si="226"/>
        <v>0</v>
      </c>
      <c r="CU53" s="219">
        <f t="shared" si="227"/>
        <v>0</v>
      </c>
      <c r="CV53" s="219">
        <f t="shared" si="228"/>
        <v>0</v>
      </c>
      <c r="CW53" s="219">
        <f t="shared" si="229"/>
        <v>0</v>
      </c>
      <c r="CX53" s="219">
        <f t="shared" si="230"/>
        <v>57730.32</v>
      </c>
      <c r="CY53" s="219">
        <f t="shared" si="231"/>
        <v>0</v>
      </c>
      <c r="CZ53" s="219">
        <f t="shared" si="232"/>
        <v>0</v>
      </c>
      <c r="DA53" s="219">
        <f t="shared" si="233"/>
        <v>0</v>
      </c>
      <c r="DB53" s="219">
        <f t="shared" si="234"/>
        <v>0</v>
      </c>
      <c r="DC53" s="219">
        <f t="shared" si="235"/>
        <v>0</v>
      </c>
      <c r="DD53" s="219">
        <f t="shared" si="236"/>
        <v>0</v>
      </c>
      <c r="DE53" s="326"/>
      <c r="DF53" s="220">
        <f t="shared" si="237"/>
        <v>0</v>
      </c>
      <c r="DG53" s="221">
        <f t="shared" si="238"/>
        <v>0</v>
      </c>
      <c r="DH53" s="221">
        <f t="shared" si="239"/>
        <v>57730.32</v>
      </c>
      <c r="DI53" s="221">
        <f t="shared" si="240"/>
        <v>0</v>
      </c>
      <c r="DJ53" s="221">
        <f t="shared" si="241"/>
        <v>0</v>
      </c>
      <c r="DK53" s="221">
        <f t="shared" si="242"/>
        <v>0</v>
      </c>
      <c r="DL53" s="221">
        <f t="shared" si="243"/>
        <v>0</v>
      </c>
      <c r="DM53" s="221">
        <f t="shared" si="244"/>
        <v>0</v>
      </c>
      <c r="DN53" s="221">
        <f t="shared" si="245"/>
        <v>0</v>
      </c>
      <c r="DO53" s="222">
        <f t="shared" si="246"/>
        <v>0</v>
      </c>
      <c r="DP53" s="326" t="s">
        <v>327</v>
      </c>
      <c r="DQ53" s="218">
        <f t="shared" si="30"/>
        <v>0</v>
      </c>
      <c r="DR53" s="219">
        <f t="shared" si="100"/>
        <v>0</v>
      </c>
      <c r="DS53" s="219">
        <f t="shared" si="101"/>
        <v>0</v>
      </c>
      <c r="DT53" s="219">
        <f t="shared" si="102"/>
        <v>0</v>
      </c>
      <c r="DU53" s="219">
        <f t="shared" si="103"/>
        <v>0</v>
      </c>
      <c r="DV53" s="219">
        <f t="shared" si="104"/>
        <v>57730.32</v>
      </c>
      <c r="DW53" s="219">
        <f t="shared" si="105"/>
        <v>0</v>
      </c>
      <c r="DX53" s="219">
        <f t="shared" si="106"/>
        <v>0</v>
      </c>
      <c r="DY53" s="219">
        <f t="shared" si="107"/>
        <v>0</v>
      </c>
      <c r="DZ53" s="219">
        <f t="shared" si="108"/>
        <v>0</v>
      </c>
      <c r="EA53" s="219">
        <f t="shared" si="40"/>
        <v>0</v>
      </c>
      <c r="EB53" s="219">
        <f t="shared" si="109"/>
        <v>0</v>
      </c>
      <c r="EC53" s="326"/>
      <c r="ED53" s="220">
        <f t="shared" si="42"/>
        <v>0</v>
      </c>
      <c r="EE53" s="221">
        <f t="shared" si="128"/>
        <v>0</v>
      </c>
      <c r="EF53" s="221">
        <f t="shared" si="129"/>
        <v>57730.32</v>
      </c>
      <c r="EG53" s="221">
        <f t="shared" si="130"/>
        <v>0</v>
      </c>
      <c r="EH53" s="221">
        <f t="shared" si="131"/>
        <v>0</v>
      </c>
      <c r="EI53" s="221">
        <f t="shared" si="132"/>
        <v>0</v>
      </c>
      <c r="EJ53" s="221">
        <f t="shared" si="133"/>
        <v>0</v>
      </c>
      <c r="EK53" s="221">
        <f t="shared" si="134"/>
        <v>0</v>
      </c>
      <c r="EL53" s="221">
        <f t="shared" si="135"/>
        <v>0</v>
      </c>
      <c r="EM53" s="222">
        <f t="shared" si="136"/>
        <v>0</v>
      </c>
      <c r="EN53" s="326" t="s">
        <v>327</v>
      </c>
      <c r="EO53" s="218">
        <f t="shared" si="43"/>
        <v>0</v>
      </c>
      <c r="EP53" s="219">
        <f t="shared" si="110"/>
        <v>0</v>
      </c>
      <c r="EQ53" s="219">
        <f t="shared" si="111"/>
        <v>0</v>
      </c>
      <c r="ER53" s="219">
        <f t="shared" si="112"/>
        <v>0</v>
      </c>
      <c r="ES53" s="219">
        <f t="shared" si="113"/>
        <v>0</v>
      </c>
      <c r="ET53" s="219">
        <f t="shared" si="114"/>
        <v>0</v>
      </c>
      <c r="EU53" s="219">
        <f t="shared" si="115"/>
        <v>0</v>
      </c>
      <c r="EV53" s="219">
        <f t="shared" si="116"/>
        <v>0</v>
      </c>
      <c r="EW53" s="219">
        <f t="shared" si="117"/>
        <v>0</v>
      </c>
      <c r="EX53" s="219">
        <f t="shared" si="118"/>
        <v>0</v>
      </c>
      <c r="EY53" s="219">
        <f t="shared" si="53"/>
        <v>0</v>
      </c>
      <c r="EZ53" s="219">
        <f t="shared" si="119"/>
        <v>0</v>
      </c>
      <c r="FA53" s="326"/>
      <c r="FB53" s="220">
        <f t="shared" si="55"/>
        <v>0</v>
      </c>
      <c r="FC53" s="221">
        <f t="shared" si="137"/>
        <v>0</v>
      </c>
      <c r="FD53" s="221">
        <f t="shared" si="138"/>
        <v>0</v>
      </c>
      <c r="FE53" s="221">
        <f t="shared" si="139"/>
        <v>0</v>
      </c>
      <c r="FF53" s="221">
        <f t="shared" si="140"/>
        <v>0</v>
      </c>
      <c r="FG53" s="221">
        <f t="shared" si="141"/>
        <v>0</v>
      </c>
      <c r="FH53" s="221">
        <f t="shared" si="142"/>
        <v>0</v>
      </c>
      <c r="FI53" s="221">
        <f t="shared" si="143"/>
        <v>0</v>
      </c>
      <c r="FJ53" s="221">
        <f t="shared" si="144"/>
        <v>0</v>
      </c>
      <c r="FK53" s="222">
        <f t="shared" si="145"/>
        <v>0</v>
      </c>
    </row>
    <row r="54" spans="1:167" s="6" customFormat="1">
      <c r="A54" s="186" t="s">
        <v>164</v>
      </c>
      <c r="B54" s="186" t="s">
        <v>202</v>
      </c>
      <c r="C54" s="187" t="s">
        <v>123</v>
      </c>
      <c r="D54" s="188">
        <f t="shared" si="56"/>
        <v>49</v>
      </c>
      <c r="E54" s="327" t="s">
        <v>327</v>
      </c>
      <c r="F54" s="154">
        <v>5320000</v>
      </c>
      <c r="G54" s="154">
        <v>5558000</v>
      </c>
      <c r="H54" s="154">
        <v>5608000</v>
      </c>
      <c r="I54" s="154">
        <v>6267000</v>
      </c>
      <c r="J54" s="154">
        <v>7062000</v>
      </c>
      <c r="K54" s="154">
        <v>7155000</v>
      </c>
      <c r="L54" s="481" t="s">
        <v>895</v>
      </c>
      <c r="M54" s="518" t="s">
        <v>327</v>
      </c>
      <c r="N54" s="327" t="s">
        <v>327</v>
      </c>
      <c r="O54" s="432"/>
      <c r="P54" s="191"/>
      <c r="Q54" s="191"/>
      <c r="R54" s="154"/>
      <c r="S54" s="189"/>
      <c r="T54" s="189"/>
      <c r="U54" s="189"/>
      <c r="V54" s="189"/>
      <c r="W54" s="326" t="s">
        <v>327</v>
      </c>
      <c r="X54" s="435">
        <v>0</v>
      </c>
      <c r="Y54" s="189">
        <v>5242000</v>
      </c>
      <c r="Z54" s="189">
        <v>5320000</v>
      </c>
      <c r="AA54" s="189">
        <v>5558000</v>
      </c>
      <c r="AB54" s="189">
        <v>5608000</v>
      </c>
      <c r="AC54" s="189">
        <v>5669000</v>
      </c>
      <c r="AD54" s="189">
        <v>5608000</v>
      </c>
      <c r="AE54" s="189" t="s">
        <v>643</v>
      </c>
      <c r="AF54" s="437" t="s">
        <v>327</v>
      </c>
      <c r="AG54" s="326" t="s">
        <v>327</v>
      </c>
      <c r="AH54" s="435">
        <f t="shared" ref="AH54:AH56" si="257">F54</f>
        <v>5320000</v>
      </c>
      <c r="AI54" s="189">
        <f t="shared" ref="AI54:AI56" si="258">G54</f>
        <v>5558000</v>
      </c>
      <c r="AJ54" s="189">
        <f t="shared" ref="AJ54:AJ56" si="259">H54</f>
        <v>5608000</v>
      </c>
      <c r="AK54" s="189">
        <f t="shared" ref="AK54:AK56" si="260">I54</f>
        <v>6267000</v>
      </c>
      <c r="AL54" s="189">
        <f t="shared" ref="AL54:AM55" si="261">J54</f>
        <v>7062000</v>
      </c>
      <c r="AM54" s="189">
        <f t="shared" si="261"/>
        <v>7155000</v>
      </c>
      <c r="AN54" s="189">
        <f t="shared" si="0"/>
        <v>6267000</v>
      </c>
      <c r="AO54" s="189" t="str">
        <f>L54</f>
        <v>CEA 2010</v>
      </c>
      <c r="AP54" s="437" t="str">
        <f>M54</f>
        <v xml:space="preserve"> </v>
      </c>
      <c r="AQ54" s="326" t="s">
        <v>327</v>
      </c>
      <c r="AR54" s="439" t="s">
        <v>775</v>
      </c>
      <c r="AS54" s="511">
        <v>0</v>
      </c>
      <c r="AT54" s="193"/>
      <c r="AU54" s="197"/>
      <c r="AV54" s="326" t="s">
        <v>327</v>
      </c>
      <c r="AW54" s="445">
        <v>0.25</v>
      </c>
      <c r="AX54" s="196">
        <v>1</v>
      </c>
      <c r="AY54" s="192" t="s">
        <v>401</v>
      </c>
      <c r="AZ54" s="193"/>
      <c r="BA54" s="193">
        <v>8.4</v>
      </c>
      <c r="BB54" s="193">
        <v>12.6</v>
      </c>
      <c r="BC54" s="193" t="s">
        <v>294</v>
      </c>
      <c r="BD54" s="193"/>
      <c r="BE54" s="193"/>
      <c r="BF54" s="197"/>
      <c r="BG54" s="326" t="s">
        <v>327</v>
      </c>
      <c r="BH54" s="445">
        <v>1</v>
      </c>
      <c r="BI54" s="196">
        <v>1</v>
      </c>
      <c r="BJ54" s="193" t="s">
        <v>401</v>
      </c>
      <c r="BK54" s="193"/>
      <c r="BL54" s="193">
        <v>7.4</v>
      </c>
      <c r="BM54" s="193">
        <v>6.5860000000000003</v>
      </c>
      <c r="BN54" s="193" t="s">
        <v>294</v>
      </c>
      <c r="BO54" s="193"/>
      <c r="BP54" s="193"/>
      <c r="BQ54" s="197"/>
      <c r="BR54" s="326" t="s">
        <v>327</v>
      </c>
      <c r="BS54" s="452">
        <v>1</v>
      </c>
      <c r="BT54" s="198">
        <v>0</v>
      </c>
      <c r="BU54" s="198">
        <v>1</v>
      </c>
      <c r="BV54" s="198">
        <v>0</v>
      </c>
      <c r="BW54" s="198">
        <v>0</v>
      </c>
      <c r="BX54" s="198">
        <v>0</v>
      </c>
      <c r="BY54" s="198">
        <v>0</v>
      </c>
      <c r="BZ54" s="198">
        <v>0</v>
      </c>
      <c r="CA54" s="198">
        <v>0</v>
      </c>
      <c r="CB54" s="198">
        <v>0</v>
      </c>
      <c r="CC54" s="198">
        <v>0</v>
      </c>
      <c r="CD54" s="199">
        <v>0</v>
      </c>
      <c r="CE54" s="197" t="s">
        <v>351</v>
      </c>
      <c r="CF54" s="326" t="s">
        <v>327</v>
      </c>
      <c r="CG54" s="379">
        <v>0</v>
      </c>
      <c r="CH54" s="380">
        <v>0</v>
      </c>
      <c r="CI54" s="380">
        <v>0.75</v>
      </c>
      <c r="CJ54" s="380">
        <v>0</v>
      </c>
      <c r="CK54" s="380">
        <v>0</v>
      </c>
      <c r="CL54" s="380">
        <v>0</v>
      </c>
      <c r="CM54" s="380">
        <v>0</v>
      </c>
      <c r="CN54" s="380">
        <v>0.25</v>
      </c>
      <c r="CO54" s="380">
        <v>0</v>
      </c>
      <c r="CP54" s="386">
        <v>0</v>
      </c>
      <c r="CQ54" s="197" t="s">
        <v>351</v>
      </c>
      <c r="CR54" s="326" t="s">
        <v>327</v>
      </c>
      <c r="CS54" s="200">
        <f t="shared" si="225"/>
        <v>1566750</v>
      </c>
      <c r="CT54" s="154">
        <f t="shared" si="226"/>
        <v>0</v>
      </c>
      <c r="CU54" s="154">
        <f t="shared" si="227"/>
        <v>1566750</v>
      </c>
      <c r="CV54" s="154">
        <f t="shared" si="228"/>
        <v>0</v>
      </c>
      <c r="CW54" s="154">
        <f t="shared" si="229"/>
        <v>0</v>
      </c>
      <c r="CX54" s="154">
        <f t="shared" si="230"/>
        <v>0</v>
      </c>
      <c r="CY54" s="154">
        <f t="shared" si="231"/>
        <v>0</v>
      </c>
      <c r="CZ54" s="154">
        <f t="shared" si="232"/>
        <v>0</v>
      </c>
      <c r="DA54" s="154">
        <f t="shared" si="233"/>
        <v>0</v>
      </c>
      <c r="DB54" s="154">
        <f t="shared" si="234"/>
        <v>0</v>
      </c>
      <c r="DC54" s="154">
        <f t="shared" si="235"/>
        <v>0</v>
      </c>
      <c r="DD54" s="154">
        <f t="shared" si="236"/>
        <v>0</v>
      </c>
      <c r="DE54" s="326"/>
      <c r="DF54" s="201">
        <f t="shared" si="237"/>
        <v>0</v>
      </c>
      <c r="DG54" s="202">
        <f t="shared" si="238"/>
        <v>0</v>
      </c>
      <c r="DH54" s="202">
        <f t="shared" si="239"/>
        <v>4700250</v>
      </c>
      <c r="DI54" s="202">
        <f t="shared" si="240"/>
        <v>0</v>
      </c>
      <c r="DJ54" s="202">
        <f t="shared" si="241"/>
        <v>0</v>
      </c>
      <c r="DK54" s="202">
        <f t="shared" si="242"/>
        <v>0</v>
      </c>
      <c r="DL54" s="202">
        <f t="shared" si="243"/>
        <v>0</v>
      </c>
      <c r="DM54" s="202">
        <f t="shared" si="244"/>
        <v>1566750</v>
      </c>
      <c r="DN54" s="202">
        <f t="shared" si="245"/>
        <v>0</v>
      </c>
      <c r="DO54" s="203">
        <f t="shared" si="246"/>
        <v>0</v>
      </c>
      <c r="DP54" s="326" t="s">
        <v>327</v>
      </c>
      <c r="DQ54" s="200">
        <f t="shared" si="30"/>
        <v>1566750</v>
      </c>
      <c r="DR54" s="154">
        <f t="shared" si="100"/>
        <v>0</v>
      </c>
      <c r="DS54" s="154">
        <f t="shared" si="101"/>
        <v>1566750</v>
      </c>
      <c r="DT54" s="154">
        <f t="shared" si="102"/>
        <v>0</v>
      </c>
      <c r="DU54" s="154">
        <f t="shared" si="103"/>
        <v>0</v>
      </c>
      <c r="DV54" s="154">
        <f t="shared" si="104"/>
        <v>0</v>
      </c>
      <c r="DW54" s="154">
        <f t="shared" si="105"/>
        <v>0</v>
      </c>
      <c r="DX54" s="154">
        <f t="shared" si="106"/>
        <v>0</v>
      </c>
      <c r="DY54" s="154">
        <f t="shared" si="107"/>
        <v>0</v>
      </c>
      <c r="DZ54" s="154">
        <f t="shared" si="108"/>
        <v>0</v>
      </c>
      <c r="EA54" s="154">
        <f t="shared" si="40"/>
        <v>0</v>
      </c>
      <c r="EB54" s="154">
        <f t="shared" si="109"/>
        <v>0</v>
      </c>
      <c r="EC54" s="326"/>
      <c r="ED54" s="201">
        <f t="shared" si="42"/>
        <v>0</v>
      </c>
      <c r="EE54" s="202">
        <f t="shared" si="128"/>
        <v>0</v>
      </c>
      <c r="EF54" s="202">
        <f t="shared" si="129"/>
        <v>4700250</v>
      </c>
      <c r="EG54" s="202">
        <f t="shared" si="130"/>
        <v>0</v>
      </c>
      <c r="EH54" s="202">
        <f t="shared" si="131"/>
        <v>0</v>
      </c>
      <c r="EI54" s="202">
        <f t="shared" si="132"/>
        <v>0</v>
      </c>
      <c r="EJ54" s="202">
        <f t="shared" si="133"/>
        <v>0</v>
      </c>
      <c r="EK54" s="202">
        <f t="shared" si="134"/>
        <v>1566750</v>
      </c>
      <c r="EL54" s="202">
        <f t="shared" si="135"/>
        <v>0</v>
      </c>
      <c r="EM54" s="203">
        <f t="shared" si="136"/>
        <v>0</v>
      </c>
      <c r="EN54" s="326" t="s">
        <v>327</v>
      </c>
      <c r="EO54" s="200">
        <f t="shared" si="43"/>
        <v>0</v>
      </c>
      <c r="EP54" s="154">
        <f t="shared" si="110"/>
        <v>0</v>
      </c>
      <c r="EQ54" s="154">
        <f t="shared" si="111"/>
        <v>0</v>
      </c>
      <c r="ER54" s="154">
        <f t="shared" si="112"/>
        <v>0</v>
      </c>
      <c r="ES54" s="154">
        <f t="shared" si="113"/>
        <v>0</v>
      </c>
      <c r="ET54" s="154">
        <f t="shared" si="114"/>
        <v>0</v>
      </c>
      <c r="EU54" s="154">
        <f t="shared" si="115"/>
        <v>0</v>
      </c>
      <c r="EV54" s="154">
        <f t="shared" si="116"/>
        <v>0</v>
      </c>
      <c r="EW54" s="154">
        <f t="shared" si="117"/>
        <v>0</v>
      </c>
      <c r="EX54" s="154">
        <f t="shared" si="118"/>
        <v>0</v>
      </c>
      <c r="EY54" s="154">
        <f t="shared" si="53"/>
        <v>0</v>
      </c>
      <c r="EZ54" s="154">
        <f t="shared" si="119"/>
        <v>0</v>
      </c>
      <c r="FA54" s="326"/>
      <c r="FB54" s="201">
        <f t="shared" si="55"/>
        <v>0</v>
      </c>
      <c r="FC54" s="202">
        <f t="shared" si="137"/>
        <v>0</v>
      </c>
      <c r="FD54" s="202">
        <f t="shared" si="138"/>
        <v>0</v>
      </c>
      <c r="FE54" s="202">
        <f t="shared" si="139"/>
        <v>0</v>
      </c>
      <c r="FF54" s="202">
        <f t="shared" si="140"/>
        <v>0</v>
      </c>
      <c r="FG54" s="202">
        <f t="shared" si="141"/>
        <v>0</v>
      </c>
      <c r="FH54" s="202">
        <f t="shared" si="142"/>
        <v>0</v>
      </c>
      <c r="FI54" s="202">
        <f t="shared" si="143"/>
        <v>0</v>
      </c>
      <c r="FJ54" s="202">
        <f t="shared" si="144"/>
        <v>0</v>
      </c>
      <c r="FK54" s="203">
        <f t="shared" si="145"/>
        <v>0</v>
      </c>
    </row>
    <row r="55" spans="1:167" s="6" customFormat="1">
      <c r="A55" s="204" t="s">
        <v>164</v>
      </c>
      <c r="B55" s="204" t="s">
        <v>202</v>
      </c>
      <c r="C55" s="205" t="s">
        <v>124</v>
      </c>
      <c r="D55" s="206">
        <f t="shared" si="56"/>
        <v>50</v>
      </c>
      <c r="E55" s="327" t="s">
        <v>327</v>
      </c>
      <c r="F55" s="219">
        <v>32947000</v>
      </c>
      <c r="G55" s="219">
        <v>33222000</v>
      </c>
      <c r="H55" s="219">
        <v>33168000</v>
      </c>
      <c r="I55" s="219">
        <v>32932000</v>
      </c>
      <c r="J55" s="219">
        <v>33742000</v>
      </c>
      <c r="K55" s="219">
        <v>33137000</v>
      </c>
      <c r="L55" s="479" t="s">
        <v>895</v>
      </c>
      <c r="M55" s="480" t="s">
        <v>327</v>
      </c>
      <c r="N55" s="327" t="s">
        <v>327</v>
      </c>
      <c r="O55" s="433"/>
      <c r="P55" s="209"/>
      <c r="Q55" s="209"/>
      <c r="R55" s="209"/>
      <c r="S55" s="207"/>
      <c r="T55" s="207"/>
      <c r="U55" s="211"/>
      <c r="V55" s="215"/>
      <c r="W55" s="326" t="s">
        <v>327</v>
      </c>
      <c r="X55" s="436">
        <v>0</v>
      </c>
      <c r="Y55" s="207">
        <v>23249000</v>
      </c>
      <c r="Z55" s="207">
        <v>32947000</v>
      </c>
      <c r="AA55" s="207">
        <v>32220000</v>
      </c>
      <c r="AB55" s="207">
        <v>33168000</v>
      </c>
      <c r="AC55" s="207">
        <v>30530000</v>
      </c>
      <c r="AD55" s="207">
        <v>33168000</v>
      </c>
      <c r="AE55" s="207" t="s">
        <v>643</v>
      </c>
      <c r="AF55" s="215" t="s">
        <v>327</v>
      </c>
      <c r="AG55" s="326" t="s">
        <v>327</v>
      </c>
      <c r="AH55" s="436">
        <f t="shared" si="257"/>
        <v>32947000</v>
      </c>
      <c r="AI55" s="207">
        <f t="shared" si="258"/>
        <v>33222000</v>
      </c>
      <c r="AJ55" s="207">
        <f t="shared" si="259"/>
        <v>33168000</v>
      </c>
      <c r="AK55" s="207">
        <f t="shared" si="260"/>
        <v>32932000</v>
      </c>
      <c r="AL55" s="207">
        <f t="shared" si="261"/>
        <v>33742000</v>
      </c>
      <c r="AM55" s="207">
        <f t="shared" si="261"/>
        <v>33137000</v>
      </c>
      <c r="AN55" s="207">
        <f t="shared" si="0"/>
        <v>32932000</v>
      </c>
      <c r="AO55" s="207" t="str">
        <f t="shared" ref="AO55:AP56" si="262">L55</f>
        <v>CEA 2010</v>
      </c>
      <c r="AP55" s="215" t="str">
        <f t="shared" si="262"/>
        <v xml:space="preserve"> </v>
      </c>
      <c r="AQ55" s="326" t="s">
        <v>327</v>
      </c>
      <c r="AR55" s="453" t="s">
        <v>775</v>
      </c>
      <c r="AS55" s="512">
        <v>0.05</v>
      </c>
      <c r="AT55" s="479" t="s">
        <v>244</v>
      </c>
      <c r="AU55" s="215"/>
      <c r="AV55" s="326" t="s">
        <v>327</v>
      </c>
      <c r="AW55" s="446">
        <v>0.15</v>
      </c>
      <c r="AX55" s="214">
        <v>1</v>
      </c>
      <c r="AY55" s="479" t="s">
        <v>1218</v>
      </c>
      <c r="AZ55" s="479" t="s">
        <v>1219</v>
      </c>
      <c r="BA55" s="211">
        <v>4.2</v>
      </c>
      <c r="BB55" s="211">
        <v>3.36</v>
      </c>
      <c r="BC55" s="211" t="s">
        <v>294</v>
      </c>
      <c r="BD55" s="211"/>
      <c r="BE55" s="211"/>
      <c r="BF55" s="215"/>
      <c r="BG55" s="326" t="s">
        <v>327</v>
      </c>
      <c r="BH55" s="446">
        <v>0.8</v>
      </c>
      <c r="BI55" s="214">
        <v>1</v>
      </c>
      <c r="BJ55" s="479" t="s">
        <v>272</v>
      </c>
      <c r="BK55" s="211"/>
      <c r="BL55" s="211">
        <v>3.7</v>
      </c>
      <c r="BM55" s="211">
        <v>3.552</v>
      </c>
      <c r="BN55" s="211" t="s">
        <v>294</v>
      </c>
      <c r="BO55" s="211"/>
      <c r="BP55" s="211"/>
      <c r="BQ55" s="215"/>
      <c r="BR55" s="326" t="s">
        <v>327</v>
      </c>
      <c r="BS55" s="453">
        <v>0</v>
      </c>
      <c r="BT55" s="216">
        <v>0</v>
      </c>
      <c r="BU55" s="216">
        <v>0</v>
      </c>
      <c r="BV55" s="216">
        <v>0</v>
      </c>
      <c r="BW55" s="216">
        <v>0</v>
      </c>
      <c r="BX55" s="216">
        <v>0.5</v>
      </c>
      <c r="BY55" s="216">
        <v>0</v>
      </c>
      <c r="BZ55" s="216">
        <v>0</v>
      </c>
      <c r="CA55" s="216">
        <v>0</v>
      </c>
      <c r="CB55" s="216">
        <v>0</v>
      </c>
      <c r="CC55" s="216">
        <v>0.5</v>
      </c>
      <c r="CD55" s="217">
        <v>0</v>
      </c>
      <c r="CE55" s="215" t="s">
        <v>249</v>
      </c>
      <c r="CF55" s="326" t="s">
        <v>327</v>
      </c>
      <c r="CG55" s="377">
        <v>0</v>
      </c>
      <c r="CH55" s="378">
        <v>0.8</v>
      </c>
      <c r="CI55" s="378">
        <v>0</v>
      </c>
      <c r="CJ55" s="378">
        <v>0</v>
      </c>
      <c r="CK55" s="378">
        <v>0</v>
      </c>
      <c r="CL55" s="378">
        <v>0</v>
      </c>
      <c r="CM55" s="378">
        <v>0</v>
      </c>
      <c r="CN55" s="378">
        <v>0.2</v>
      </c>
      <c r="CO55" s="378">
        <v>0</v>
      </c>
      <c r="CP55" s="385">
        <v>0</v>
      </c>
      <c r="CQ55" s="215" t="s">
        <v>249</v>
      </c>
      <c r="CR55" s="326" t="s">
        <v>327</v>
      </c>
      <c r="CS55" s="218">
        <f t="shared" si="225"/>
        <v>0</v>
      </c>
      <c r="CT55" s="219">
        <f t="shared" si="226"/>
        <v>0</v>
      </c>
      <c r="CU55" s="219">
        <f t="shared" si="227"/>
        <v>0</v>
      </c>
      <c r="CV55" s="219">
        <f t="shared" si="228"/>
        <v>0</v>
      </c>
      <c r="CW55" s="219">
        <f t="shared" si="229"/>
        <v>0</v>
      </c>
      <c r="CX55" s="219">
        <f t="shared" si="230"/>
        <v>2469900</v>
      </c>
      <c r="CY55" s="219">
        <f t="shared" si="231"/>
        <v>0</v>
      </c>
      <c r="CZ55" s="219">
        <f t="shared" si="232"/>
        <v>0</v>
      </c>
      <c r="DA55" s="219">
        <f t="shared" si="233"/>
        <v>0</v>
      </c>
      <c r="DB55" s="219">
        <f t="shared" si="234"/>
        <v>0</v>
      </c>
      <c r="DC55" s="219">
        <f t="shared" si="235"/>
        <v>2469900</v>
      </c>
      <c r="DD55" s="219">
        <f t="shared" si="236"/>
        <v>0</v>
      </c>
      <c r="DE55" s="326"/>
      <c r="DF55" s="220">
        <f t="shared" si="237"/>
        <v>0</v>
      </c>
      <c r="DG55" s="221">
        <f t="shared" si="238"/>
        <v>21076480</v>
      </c>
      <c r="DH55" s="221">
        <f t="shared" si="239"/>
        <v>0</v>
      </c>
      <c r="DI55" s="221">
        <f t="shared" si="240"/>
        <v>0</v>
      </c>
      <c r="DJ55" s="221">
        <f t="shared" si="241"/>
        <v>0</v>
      </c>
      <c r="DK55" s="221">
        <f t="shared" si="242"/>
        <v>0</v>
      </c>
      <c r="DL55" s="221">
        <f t="shared" si="243"/>
        <v>0</v>
      </c>
      <c r="DM55" s="221">
        <f t="shared" si="244"/>
        <v>5269120</v>
      </c>
      <c r="DN55" s="221">
        <f t="shared" si="245"/>
        <v>0</v>
      </c>
      <c r="DO55" s="222">
        <f t="shared" si="246"/>
        <v>0</v>
      </c>
      <c r="DP55" s="326" t="s">
        <v>327</v>
      </c>
      <c r="DQ55" s="218">
        <f t="shared" si="30"/>
        <v>0</v>
      </c>
      <c r="DR55" s="219">
        <f t="shared" si="100"/>
        <v>0</v>
      </c>
      <c r="DS55" s="219">
        <f t="shared" si="101"/>
        <v>0</v>
      </c>
      <c r="DT55" s="219">
        <f t="shared" si="102"/>
        <v>0</v>
      </c>
      <c r="DU55" s="219">
        <f t="shared" si="103"/>
        <v>0</v>
      </c>
      <c r="DV55" s="219">
        <f t="shared" si="104"/>
        <v>2346405</v>
      </c>
      <c r="DW55" s="219">
        <f t="shared" si="105"/>
        <v>0</v>
      </c>
      <c r="DX55" s="219">
        <f t="shared" si="106"/>
        <v>0</v>
      </c>
      <c r="DY55" s="219">
        <f t="shared" si="107"/>
        <v>0</v>
      </c>
      <c r="DZ55" s="219">
        <f t="shared" si="108"/>
        <v>0</v>
      </c>
      <c r="EA55" s="219">
        <f t="shared" si="40"/>
        <v>2346405</v>
      </c>
      <c r="EB55" s="219">
        <f t="shared" si="109"/>
        <v>0</v>
      </c>
      <c r="EC55" s="326"/>
      <c r="ED55" s="220">
        <f t="shared" si="42"/>
        <v>0</v>
      </c>
      <c r="EE55" s="221">
        <f t="shared" si="128"/>
        <v>20022656</v>
      </c>
      <c r="EF55" s="221">
        <f t="shared" si="129"/>
        <v>0</v>
      </c>
      <c r="EG55" s="221">
        <f t="shared" si="130"/>
        <v>0</v>
      </c>
      <c r="EH55" s="221">
        <f t="shared" si="131"/>
        <v>0</v>
      </c>
      <c r="EI55" s="221">
        <f t="shared" si="132"/>
        <v>0</v>
      </c>
      <c r="EJ55" s="221">
        <f t="shared" si="133"/>
        <v>0</v>
      </c>
      <c r="EK55" s="221">
        <f t="shared" si="134"/>
        <v>5005664</v>
      </c>
      <c r="EL55" s="221">
        <f t="shared" si="135"/>
        <v>0</v>
      </c>
      <c r="EM55" s="222">
        <f t="shared" si="136"/>
        <v>0</v>
      </c>
      <c r="EN55" s="326" t="s">
        <v>327</v>
      </c>
      <c r="EO55" s="218">
        <f t="shared" si="43"/>
        <v>0</v>
      </c>
      <c r="EP55" s="219">
        <f t="shared" si="110"/>
        <v>0</v>
      </c>
      <c r="EQ55" s="219">
        <f t="shared" si="111"/>
        <v>0</v>
      </c>
      <c r="ER55" s="219">
        <f t="shared" si="112"/>
        <v>0</v>
      </c>
      <c r="ES55" s="219">
        <f t="shared" si="113"/>
        <v>0</v>
      </c>
      <c r="ET55" s="219">
        <f t="shared" si="114"/>
        <v>123495</v>
      </c>
      <c r="EU55" s="219">
        <f t="shared" si="115"/>
        <v>0</v>
      </c>
      <c r="EV55" s="219">
        <f t="shared" si="116"/>
        <v>0</v>
      </c>
      <c r="EW55" s="219">
        <f t="shared" si="117"/>
        <v>0</v>
      </c>
      <c r="EX55" s="219">
        <f t="shared" si="118"/>
        <v>0</v>
      </c>
      <c r="EY55" s="219">
        <f t="shared" si="53"/>
        <v>123495</v>
      </c>
      <c r="EZ55" s="219">
        <f t="shared" si="119"/>
        <v>0</v>
      </c>
      <c r="FA55" s="326"/>
      <c r="FB55" s="220">
        <f t="shared" si="55"/>
        <v>0</v>
      </c>
      <c r="FC55" s="221">
        <f t="shared" si="137"/>
        <v>1053824</v>
      </c>
      <c r="FD55" s="221">
        <f t="shared" si="138"/>
        <v>0</v>
      </c>
      <c r="FE55" s="221">
        <f t="shared" si="139"/>
        <v>0</v>
      </c>
      <c r="FF55" s="221">
        <f t="shared" si="140"/>
        <v>0</v>
      </c>
      <c r="FG55" s="221">
        <f t="shared" si="141"/>
        <v>0</v>
      </c>
      <c r="FH55" s="221">
        <f t="shared" si="142"/>
        <v>0</v>
      </c>
      <c r="FI55" s="221">
        <f t="shared" si="143"/>
        <v>263456</v>
      </c>
      <c r="FJ55" s="221">
        <f t="shared" si="144"/>
        <v>0</v>
      </c>
      <c r="FK55" s="222">
        <f t="shared" si="145"/>
        <v>0</v>
      </c>
    </row>
    <row r="56" spans="1:167" s="6" customFormat="1">
      <c r="A56" s="186" t="s">
        <v>164</v>
      </c>
      <c r="B56" s="186" t="s">
        <v>202</v>
      </c>
      <c r="C56" s="187" t="s">
        <v>125</v>
      </c>
      <c r="D56" s="188">
        <f t="shared" si="56"/>
        <v>51</v>
      </c>
      <c r="E56" s="327" t="s">
        <v>327</v>
      </c>
      <c r="F56" s="154">
        <v>1450000</v>
      </c>
      <c r="G56" s="154">
        <v>5262000</v>
      </c>
      <c r="H56" s="154">
        <v>7472000</v>
      </c>
      <c r="I56" s="154">
        <v>9319000</v>
      </c>
      <c r="J56" s="154">
        <v>9226000</v>
      </c>
      <c r="K56" s="154">
        <v>8857000</v>
      </c>
      <c r="L56" s="481" t="s">
        <v>895</v>
      </c>
      <c r="M56" s="478" t="s">
        <v>790</v>
      </c>
      <c r="N56" s="327" t="s">
        <v>327</v>
      </c>
      <c r="O56" s="432"/>
      <c r="P56" s="191"/>
      <c r="Q56" s="191"/>
      <c r="R56" s="191"/>
      <c r="S56" s="189"/>
      <c r="T56" s="189"/>
      <c r="U56" s="193"/>
      <c r="V56" s="197"/>
      <c r="W56" s="326" t="s">
        <v>327</v>
      </c>
      <c r="X56" s="435">
        <v>0</v>
      </c>
      <c r="Y56" s="189">
        <v>0</v>
      </c>
      <c r="Z56" s="189">
        <v>1450000</v>
      </c>
      <c r="AA56" s="189">
        <v>5262000</v>
      </c>
      <c r="AB56" s="189">
        <v>7472000</v>
      </c>
      <c r="AC56" s="189">
        <v>9333000</v>
      </c>
      <c r="AD56" s="189">
        <v>7472000</v>
      </c>
      <c r="AE56" s="189" t="s">
        <v>643</v>
      </c>
      <c r="AF56" s="197" t="s">
        <v>327</v>
      </c>
      <c r="AG56" s="326" t="s">
        <v>327</v>
      </c>
      <c r="AH56" s="435">
        <f t="shared" si="257"/>
        <v>1450000</v>
      </c>
      <c r="AI56" s="189">
        <f t="shared" si="258"/>
        <v>5262000</v>
      </c>
      <c r="AJ56" s="189">
        <f t="shared" si="259"/>
        <v>7472000</v>
      </c>
      <c r="AK56" s="189">
        <f t="shared" si="260"/>
        <v>9319000</v>
      </c>
      <c r="AL56" s="189">
        <f>J56</f>
        <v>9226000</v>
      </c>
      <c r="AM56" s="189">
        <f>K56</f>
        <v>8857000</v>
      </c>
      <c r="AN56" s="189">
        <f t="shared" si="0"/>
        <v>9319000</v>
      </c>
      <c r="AO56" s="189" t="str">
        <f t="shared" si="262"/>
        <v>CEA 2010</v>
      </c>
      <c r="AP56" s="197" t="str">
        <f t="shared" si="262"/>
        <v>CEA expects unit volumes to slowly decline through 2014</v>
      </c>
      <c r="AQ56" s="326" t="s">
        <v>327</v>
      </c>
      <c r="AR56" s="439" t="s">
        <v>776</v>
      </c>
      <c r="AS56" s="511">
        <v>0.02</v>
      </c>
      <c r="AT56" s="481" t="s">
        <v>244</v>
      </c>
      <c r="AU56" s="197"/>
      <c r="AV56" s="326" t="s">
        <v>327</v>
      </c>
      <c r="AW56" s="445">
        <v>1</v>
      </c>
      <c r="AX56" s="196">
        <v>1</v>
      </c>
      <c r="AY56" s="193" t="s">
        <v>401</v>
      </c>
      <c r="AZ56" s="193"/>
      <c r="BA56" s="193">
        <v>12</v>
      </c>
      <c r="BB56" s="193">
        <v>14.4</v>
      </c>
      <c r="BC56" s="193" t="s">
        <v>294</v>
      </c>
      <c r="BD56" s="193"/>
      <c r="BE56" s="193"/>
      <c r="BF56" s="197"/>
      <c r="BG56" s="326" t="s">
        <v>327</v>
      </c>
      <c r="BH56" s="445">
        <v>0</v>
      </c>
      <c r="BI56" s="196">
        <v>1</v>
      </c>
      <c r="BJ56" s="193" t="s">
        <v>400</v>
      </c>
      <c r="BK56" s="193"/>
      <c r="BL56" s="193" t="s">
        <v>283</v>
      </c>
      <c r="BM56" s="193" t="s">
        <v>283</v>
      </c>
      <c r="BN56" s="193" t="s">
        <v>294</v>
      </c>
      <c r="BO56" s="193"/>
      <c r="BP56" s="193"/>
      <c r="BQ56" s="197"/>
      <c r="BR56" s="326" t="s">
        <v>327</v>
      </c>
      <c r="BS56" s="452">
        <v>1</v>
      </c>
      <c r="BT56" s="198">
        <v>0</v>
      </c>
      <c r="BU56" s="198">
        <v>1</v>
      </c>
      <c r="BV56" s="198">
        <v>0</v>
      </c>
      <c r="BW56" s="198">
        <v>0</v>
      </c>
      <c r="BX56" s="198">
        <v>0</v>
      </c>
      <c r="BY56" s="198">
        <v>0</v>
      </c>
      <c r="BZ56" s="198">
        <v>0</v>
      </c>
      <c r="CA56" s="198">
        <v>0</v>
      </c>
      <c r="CB56" s="198">
        <v>0</v>
      </c>
      <c r="CC56" s="198">
        <v>0</v>
      </c>
      <c r="CD56" s="199">
        <v>0</v>
      </c>
      <c r="CE56" s="197" t="s">
        <v>272</v>
      </c>
      <c r="CF56" s="326" t="s">
        <v>327</v>
      </c>
      <c r="CG56" s="379">
        <v>0</v>
      </c>
      <c r="CH56" s="380">
        <v>0</v>
      </c>
      <c r="CI56" s="380">
        <v>0</v>
      </c>
      <c r="CJ56" s="380">
        <v>0</v>
      </c>
      <c r="CK56" s="380">
        <v>0</v>
      </c>
      <c r="CL56" s="380">
        <v>0</v>
      </c>
      <c r="CM56" s="380">
        <v>0</v>
      </c>
      <c r="CN56" s="380">
        <v>0</v>
      </c>
      <c r="CO56" s="380">
        <v>0</v>
      </c>
      <c r="CP56" s="386">
        <v>0</v>
      </c>
      <c r="CQ56" s="197" t="s">
        <v>272</v>
      </c>
      <c r="CR56" s="326" t="s">
        <v>327</v>
      </c>
      <c r="CS56" s="200">
        <f t="shared" si="225"/>
        <v>9319000</v>
      </c>
      <c r="CT56" s="154">
        <f t="shared" si="226"/>
        <v>0</v>
      </c>
      <c r="CU56" s="154">
        <f t="shared" si="227"/>
        <v>9319000</v>
      </c>
      <c r="CV56" s="154">
        <f t="shared" si="228"/>
        <v>0</v>
      </c>
      <c r="CW56" s="154">
        <f t="shared" si="229"/>
        <v>0</v>
      </c>
      <c r="CX56" s="154">
        <f t="shared" si="230"/>
        <v>0</v>
      </c>
      <c r="CY56" s="154">
        <f t="shared" si="231"/>
        <v>0</v>
      </c>
      <c r="CZ56" s="154">
        <f t="shared" si="232"/>
        <v>0</v>
      </c>
      <c r="DA56" s="154">
        <f t="shared" si="233"/>
        <v>0</v>
      </c>
      <c r="DB56" s="154">
        <f t="shared" si="234"/>
        <v>0</v>
      </c>
      <c r="DC56" s="154">
        <f t="shared" si="235"/>
        <v>0</v>
      </c>
      <c r="DD56" s="154">
        <f t="shared" si="236"/>
        <v>0</v>
      </c>
      <c r="DE56" s="326"/>
      <c r="DF56" s="201">
        <f t="shared" si="237"/>
        <v>0</v>
      </c>
      <c r="DG56" s="202">
        <f t="shared" si="238"/>
        <v>0</v>
      </c>
      <c r="DH56" s="202">
        <f t="shared" si="239"/>
        <v>0</v>
      </c>
      <c r="DI56" s="202">
        <f t="shared" si="240"/>
        <v>0</v>
      </c>
      <c r="DJ56" s="202">
        <f t="shared" si="241"/>
        <v>0</v>
      </c>
      <c r="DK56" s="202">
        <f t="shared" si="242"/>
        <v>0</v>
      </c>
      <c r="DL56" s="202">
        <f t="shared" si="243"/>
        <v>0</v>
      </c>
      <c r="DM56" s="202">
        <f t="shared" si="244"/>
        <v>0</v>
      </c>
      <c r="DN56" s="202">
        <f t="shared" si="245"/>
        <v>0</v>
      </c>
      <c r="DO56" s="203">
        <f t="shared" si="246"/>
        <v>0</v>
      </c>
      <c r="DP56" s="326" t="s">
        <v>327</v>
      </c>
      <c r="DQ56" s="200">
        <f t="shared" si="30"/>
        <v>9132620</v>
      </c>
      <c r="DR56" s="154">
        <f t="shared" si="100"/>
        <v>0</v>
      </c>
      <c r="DS56" s="154">
        <f t="shared" si="101"/>
        <v>9132620</v>
      </c>
      <c r="DT56" s="154">
        <f t="shared" si="102"/>
        <v>0</v>
      </c>
      <c r="DU56" s="154">
        <f t="shared" si="103"/>
        <v>0</v>
      </c>
      <c r="DV56" s="154">
        <f t="shared" si="104"/>
        <v>0</v>
      </c>
      <c r="DW56" s="154">
        <f t="shared" si="105"/>
        <v>0</v>
      </c>
      <c r="DX56" s="154">
        <f t="shared" si="106"/>
        <v>0</v>
      </c>
      <c r="DY56" s="154">
        <f t="shared" si="107"/>
        <v>0</v>
      </c>
      <c r="DZ56" s="154">
        <f t="shared" si="108"/>
        <v>0</v>
      </c>
      <c r="EA56" s="154">
        <f t="shared" si="40"/>
        <v>0</v>
      </c>
      <c r="EB56" s="154">
        <f t="shared" si="109"/>
        <v>0</v>
      </c>
      <c r="EC56" s="326"/>
      <c r="ED56" s="201">
        <f t="shared" si="42"/>
        <v>0</v>
      </c>
      <c r="EE56" s="202">
        <f t="shared" si="128"/>
        <v>0</v>
      </c>
      <c r="EF56" s="202">
        <f t="shared" si="129"/>
        <v>0</v>
      </c>
      <c r="EG56" s="202">
        <f t="shared" si="130"/>
        <v>0</v>
      </c>
      <c r="EH56" s="202">
        <f t="shared" si="131"/>
        <v>0</v>
      </c>
      <c r="EI56" s="202">
        <f t="shared" si="132"/>
        <v>0</v>
      </c>
      <c r="EJ56" s="202">
        <f t="shared" si="133"/>
        <v>0</v>
      </c>
      <c r="EK56" s="202">
        <f t="shared" si="134"/>
        <v>0</v>
      </c>
      <c r="EL56" s="202">
        <f t="shared" si="135"/>
        <v>0</v>
      </c>
      <c r="EM56" s="203">
        <f t="shared" si="136"/>
        <v>0</v>
      </c>
      <c r="EN56" s="326" t="s">
        <v>327</v>
      </c>
      <c r="EO56" s="200">
        <f t="shared" si="43"/>
        <v>186380</v>
      </c>
      <c r="EP56" s="154">
        <f t="shared" si="110"/>
        <v>0</v>
      </c>
      <c r="EQ56" s="154">
        <f t="shared" si="111"/>
        <v>186380</v>
      </c>
      <c r="ER56" s="154">
        <f t="shared" si="112"/>
        <v>0</v>
      </c>
      <c r="ES56" s="154">
        <f t="shared" si="113"/>
        <v>0</v>
      </c>
      <c r="ET56" s="154">
        <f t="shared" si="114"/>
        <v>0</v>
      </c>
      <c r="EU56" s="154">
        <f t="shared" si="115"/>
        <v>0</v>
      </c>
      <c r="EV56" s="154">
        <f t="shared" si="116"/>
        <v>0</v>
      </c>
      <c r="EW56" s="154">
        <f t="shared" si="117"/>
        <v>0</v>
      </c>
      <c r="EX56" s="154">
        <f t="shared" si="118"/>
        <v>0</v>
      </c>
      <c r="EY56" s="154">
        <f t="shared" si="53"/>
        <v>0</v>
      </c>
      <c r="EZ56" s="154">
        <f t="shared" si="119"/>
        <v>0</v>
      </c>
      <c r="FA56" s="326"/>
      <c r="FB56" s="201">
        <f t="shared" si="55"/>
        <v>0</v>
      </c>
      <c r="FC56" s="202">
        <f t="shared" si="137"/>
        <v>0</v>
      </c>
      <c r="FD56" s="202">
        <f t="shared" si="138"/>
        <v>0</v>
      </c>
      <c r="FE56" s="202">
        <f t="shared" si="139"/>
        <v>0</v>
      </c>
      <c r="FF56" s="202">
        <f t="shared" si="140"/>
        <v>0</v>
      </c>
      <c r="FG56" s="202">
        <f t="shared" si="141"/>
        <v>0</v>
      </c>
      <c r="FH56" s="202">
        <f t="shared" si="142"/>
        <v>0</v>
      </c>
      <c r="FI56" s="202">
        <f t="shared" si="143"/>
        <v>0</v>
      </c>
      <c r="FJ56" s="202">
        <f t="shared" si="144"/>
        <v>0</v>
      </c>
      <c r="FK56" s="203">
        <f t="shared" si="145"/>
        <v>0</v>
      </c>
    </row>
    <row r="57" spans="1:167" s="6" customFormat="1">
      <c r="A57" s="204" t="s">
        <v>164</v>
      </c>
      <c r="B57" s="204" t="s">
        <v>202</v>
      </c>
      <c r="C57" s="205" t="s">
        <v>181</v>
      </c>
      <c r="D57" s="206">
        <f t="shared" si="56"/>
        <v>52</v>
      </c>
      <c r="E57" s="327" t="s">
        <v>327</v>
      </c>
      <c r="F57" s="219">
        <v>3604500</v>
      </c>
      <c r="G57" s="219">
        <f>F57*1.009</f>
        <v>3636940.4999999995</v>
      </c>
      <c r="H57" s="219">
        <f t="shared" ref="H57:I57" si="263">G57*1.009</f>
        <v>3669672.9644999993</v>
      </c>
      <c r="I57" s="219">
        <f t="shared" si="263"/>
        <v>3702700.0211804989</v>
      </c>
      <c r="J57" s="219"/>
      <c r="K57" s="219"/>
      <c r="L57" s="479" t="s">
        <v>929</v>
      </c>
      <c r="M57" s="480" t="s">
        <v>925</v>
      </c>
      <c r="N57" s="327" t="s">
        <v>327</v>
      </c>
      <c r="O57" s="433"/>
      <c r="P57" s="209"/>
      <c r="Q57" s="209"/>
      <c r="R57" s="209"/>
      <c r="S57" s="207"/>
      <c r="T57" s="207"/>
      <c r="U57" s="211"/>
      <c r="V57" s="215"/>
      <c r="W57" s="326" t="s">
        <v>327</v>
      </c>
      <c r="X57" s="436">
        <v>0</v>
      </c>
      <c r="Y57" s="207">
        <v>0</v>
      </c>
      <c r="Z57" s="207">
        <v>0</v>
      </c>
      <c r="AA57" s="207">
        <v>0</v>
      </c>
      <c r="AB57" s="207">
        <v>7140000</v>
      </c>
      <c r="AC57" s="207">
        <v>0</v>
      </c>
      <c r="AD57" s="207">
        <v>7140000</v>
      </c>
      <c r="AE57" s="207" t="s">
        <v>639</v>
      </c>
      <c r="AF57" s="215" t="s">
        <v>327</v>
      </c>
      <c r="AG57" s="326" t="s">
        <v>327</v>
      </c>
      <c r="AH57" s="436">
        <f t="shared" ref="AH57:AK57" si="264">F57</f>
        <v>3604500</v>
      </c>
      <c r="AI57" s="207">
        <f t="shared" si="264"/>
        <v>3636940.4999999995</v>
      </c>
      <c r="AJ57" s="207">
        <f t="shared" si="264"/>
        <v>3669672.9644999993</v>
      </c>
      <c r="AK57" s="207">
        <f t="shared" si="264"/>
        <v>3702700.0211804989</v>
      </c>
      <c r="AL57" s="207"/>
      <c r="AM57" s="207"/>
      <c r="AN57" s="207">
        <f t="shared" si="0"/>
        <v>3702700.0211804989</v>
      </c>
      <c r="AO57" s="207" t="str">
        <f>L57</f>
        <v>Chinapromoter 2008</v>
      </c>
      <c r="AP57" s="215" t="str">
        <f>M57</f>
        <v>Global 2006 shipments (13.5m) divided by US share of world GPD 26.7%. Assume shipments grow at rate of US population.</v>
      </c>
      <c r="AQ57" s="326" t="s">
        <v>327</v>
      </c>
      <c r="AR57" s="441" t="s">
        <v>775</v>
      </c>
      <c r="AS57" s="512">
        <v>0</v>
      </c>
      <c r="AT57" s="211"/>
      <c r="AU57" s="215"/>
      <c r="AV57" s="326" t="s">
        <v>327</v>
      </c>
      <c r="AW57" s="446">
        <v>1</v>
      </c>
      <c r="AX57" s="214">
        <v>1</v>
      </c>
      <c r="AY57" s="210" t="s">
        <v>274</v>
      </c>
      <c r="AZ57" s="211"/>
      <c r="BA57" s="211">
        <v>9</v>
      </c>
      <c r="BB57" s="211">
        <v>18</v>
      </c>
      <c r="BC57" s="211" t="s">
        <v>294</v>
      </c>
      <c r="BD57" s="211"/>
      <c r="BE57" s="211"/>
      <c r="BF57" s="215"/>
      <c r="BG57" s="326" t="s">
        <v>327</v>
      </c>
      <c r="BH57" s="446">
        <v>1</v>
      </c>
      <c r="BI57" s="214">
        <v>1</v>
      </c>
      <c r="BJ57" s="211" t="s">
        <v>274</v>
      </c>
      <c r="BK57" s="211"/>
      <c r="BL57" s="211">
        <v>7.4</v>
      </c>
      <c r="BM57" s="211">
        <v>22.2</v>
      </c>
      <c r="BN57" s="211" t="s">
        <v>294</v>
      </c>
      <c r="BO57" s="211"/>
      <c r="BP57" s="211"/>
      <c r="BQ57" s="215"/>
      <c r="BR57" s="326" t="s">
        <v>327</v>
      </c>
      <c r="BS57" s="453">
        <v>1</v>
      </c>
      <c r="BT57" s="216">
        <v>0</v>
      </c>
      <c r="BU57" s="216">
        <v>1</v>
      </c>
      <c r="BV57" s="216">
        <v>0</v>
      </c>
      <c r="BW57" s="216">
        <v>0</v>
      </c>
      <c r="BX57" s="216">
        <v>0</v>
      </c>
      <c r="BY57" s="216">
        <v>0</v>
      </c>
      <c r="BZ57" s="216">
        <v>0</v>
      </c>
      <c r="CA57" s="216">
        <v>0</v>
      </c>
      <c r="CB57" s="216">
        <v>0</v>
      </c>
      <c r="CC57" s="216">
        <v>0</v>
      </c>
      <c r="CD57" s="217">
        <v>0</v>
      </c>
      <c r="CE57" s="215" t="s">
        <v>272</v>
      </c>
      <c r="CF57" s="326" t="s">
        <v>327</v>
      </c>
      <c r="CG57" s="377">
        <v>0</v>
      </c>
      <c r="CH57" s="378">
        <v>0</v>
      </c>
      <c r="CI57" s="378">
        <v>1</v>
      </c>
      <c r="CJ57" s="378">
        <v>0</v>
      </c>
      <c r="CK57" s="378">
        <v>0</v>
      </c>
      <c r="CL57" s="378">
        <v>0</v>
      </c>
      <c r="CM57" s="378">
        <v>0</v>
      </c>
      <c r="CN57" s="378">
        <v>0</v>
      </c>
      <c r="CO57" s="378">
        <v>0</v>
      </c>
      <c r="CP57" s="385">
        <v>0</v>
      </c>
      <c r="CQ57" s="215" t="s">
        <v>272</v>
      </c>
      <c r="CR57" s="326" t="s">
        <v>327</v>
      </c>
      <c r="CS57" s="218">
        <f t="shared" si="225"/>
        <v>3702700.0211804989</v>
      </c>
      <c r="CT57" s="219">
        <f t="shared" si="226"/>
        <v>0</v>
      </c>
      <c r="CU57" s="219">
        <f t="shared" si="227"/>
        <v>3702700.0211804989</v>
      </c>
      <c r="CV57" s="219">
        <f t="shared" si="228"/>
        <v>0</v>
      </c>
      <c r="CW57" s="219">
        <f t="shared" si="229"/>
        <v>0</v>
      </c>
      <c r="CX57" s="219">
        <f t="shared" si="230"/>
        <v>0</v>
      </c>
      <c r="CY57" s="219">
        <f t="shared" si="231"/>
        <v>0</v>
      </c>
      <c r="CZ57" s="219">
        <f t="shared" si="232"/>
        <v>0</v>
      </c>
      <c r="DA57" s="219">
        <f t="shared" si="233"/>
        <v>0</v>
      </c>
      <c r="DB57" s="219">
        <f t="shared" si="234"/>
        <v>0</v>
      </c>
      <c r="DC57" s="219">
        <f t="shared" si="235"/>
        <v>0</v>
      </c>
      <c r="DD57" s="219">
        <f t="shared" si="236"/>
        <v>0</v>
      </c>
      <c r="DE57" s="326"/>
      <c r="DF57" s="220">
        <f t="shared" si="237"/>
        <v>0</v>
      </c>
      <c r="DG57" s="221">
        <f t="shared" si="238"/>
        <v>0</v>
      </c>
      <c r="DH57" s="221">
        <f t="shared" si="239"/>
        <v>3702700.0211804989</v>
      </c>
      <c r="DI57" s="221">
        <f t="shared" si="240"/>
        <v>0</v>
      </c>
      <c r="DJ57" s="221">
        <f t="shared" si="241"/>
        <v>0</v>
      </c>
      <c r="DK57" s="221">
        <f t="shared" si="242"/>
        <v>0</v>
      </c>
      <c r="DL57" s="221">
        <f t="shared" si="243"/>
        <v>0</v>
      </c>
      <c r="DM57" s="221">
        <f t="shared" si="244"/>
        <v>0</v>
      </c>
      <c r="DN57" s="221">
        <f t="shared" si="245"/>
        <v>0</v>
      </c>
      <c r="DO57" s="222">
        <f t="shared" si="246"/>
        <v>0</v>
      </c>
      <c r="DP57" s="326" t="s">
        <v>327</v>
      </c>
      <c r="DQ57" s="218">
        <f t="shared" si="30"/>
        <v>3702700.0211804989</v>
      </c>
      <c r="DR57" s="219">
        <f t="shared" si="100"/>
        <v>0</v>
      </c>
      <c r="DS57" s="219">
        <f t="shared" si="101"/>
        <v>3702700.0211804989</v>
      </c>
      <c r="DT57" s="219">
        <f t="shared" si="102"/>
        <v>0</v>
      </c>
      <c r="DU57" s="219">
        <f t="shared" si="103"/>
        <v>0</v>
      </c>
      <c r="DV57" s="219">
        <f t="shared" si="104"/>
        <v>0</v>
      </c>
      <c r="DW57" s="219">
        <f t="shared" si="105"/>
        <v>0</v>
      </c>
      <c r="DX57" s="219">
        <f t="shared" si="106"/>
        <v>0</v>
      </c>
      <c r="DY57" s="219">
        <f t="shared" si="107"/>
        <v>0</v>
      </c>
      <c r="DZ57" s="219">
        <f t="shared" si="108"/>
        <v>0</v>
      </c>
      <c r="EA57" s="219">
        <f t="shared" si="40"/>
        <v>0</v>
      </c>
      <c r="EB57" s="219">
        <f t="shared" si="109"/>
        <v>0</v>
      </c>
      <c r="EC57" s="326"/>
      <c r="ED57" s="220">
        <f t="shared" si="42"/>
        <v>0</v>
      </c>
      <c r="EE57" s="221">
        <f t="shared" si="128"/>
        <v>0</v>
      </c>
      <c r="EF57" s="221">
        <f t="shared" si="129"/>
        <v>3702700.0211804989</v>
      </c>
      <c r="EG57" s="221">
        <f t="shared" si="130"/>
        <v>0</v>
      </c>
      <c r="EH57" s="221">
        <f t="shared" si="131"/>
        <v>0</v>
      </c>
      <c r="EI57" s="221">
        <f t="shared" si="132"/>
        <v>0</v>
      </c>
      <c r="EJ57" s="221">
        <f t="shared" si="133"/>
        <v>0</v>
      </c>
      <c r="EK57" s="221">
        <f t="shared" si="134"/>
        <v>0</v>
      </c>
      <c r="EL57" s="221">
        <f t="shared" si="135"/>
        <v>0</v>
      </c>
      <c r="EM57" s="222">
        <f t="shared" si="136"/>
        <v>0</v>
      </c>
      <c r="EN57" s="326" t="s">
        <v>327</v>
      </c>
      <c r="EO57" s="218">
        <f t="shared" si="43"/>
        <v>0</v>
      </c>
      <c r="EP57" s="219">
        <f t="shared" si="110"/>
        <v>0</v>
      </c>
      <c r="EQ57" s="219">
        <f t="shared" si="111"/>
        <v>0</v>
      </c>
      <c r="ER57" s="219">
        <f t="shared" si="112"/>
        <v>0</v>
      </c>
      <c r="ES57" s="219">
        <f t="shared" si="113"/>
        <v>0</v>
      </c>
      <c r="ET57" s="219">
        <f t="shared" si="114"/>
        <v>0</v>
      </c>
      <c r="EU57" s="219">
        <f t="shared" si="115"/>
        <v>0</v>
      </c>
      <c r="EV57" s="219">
        <f t="shared" si="116"/>
        <v>0</v>
      </c>
      <c r="EW57" s="219">
        <f t="shared" si="117"/>
        <v>0</v>
      </c>
      <c r="EX57" s="219">
        <f t="shared" si="118"/>
        <v>0</v>
      </c>
      <c r="EY57" s="219">
        <f t="shared" si="53"/>
        <v>0</v>
      </c>
      <c r="EZ57" s="219">
        <f t="shared" si="119"/>
        <v>0</v>
      </c>
      <c r="FA57" s="326"/>
      <c r="FB57" s="220">
        <f t="shared" si="55"/>
        <v>0</v>
      </c>
      <c r="FC57" s="221">
        <f t="shared" si="137"/>
        <v>0</v>
      </c>
      <c r="FD57" s="221">
        <f t="shared" si="138"/>
        <v>0</v>
      </c>
      <c r="FE57" s="221">
        <f t="shared" si="139"/>
        <v>0</v>
      </c>
      <c r="FF57" s="221">
        <f t="shared" si="140"/>
        <v>0</v>
      </c>
      <c r="FG57" s="221">
        <f t="shared" si="141"/>
        <v>0</v>
      </c>
      <c r="FH57" s="221">
        <f t="shared" si="142"/>
        <v>0</v>
      </c>
      <c r="FI57" s="221">
        <f t="shared" si="143"/>
        <v>0</v>
      </c>
      <c r="FJ57" s="221">
        <f t="shared" si="144"/>
        <v>0</v>
      </c>
      <c r="FK57" s="222">
        <f t="shared" si="145"/>
        <v>0</v>
      </c>
    </row>
    <row r="58" spans="1:167" s="6" customFormat="1">
      <c r="A58" s="186" t="s">
        <v>164</v>
      </c>
      <c r="B58" s="186" t="s">
        <v>167</v>
      </c>
      <c r="C58" s="187" t="s">
        <v>779</v>
      </c>
      <c r="D58" s="188">
        <f t="shared" si="56"/>
        <v>53</v>
      </c>
      <c r="E58" s="327"/>
      <c r="F58" s="154"/>
      <c r="G58" s="154"/>
      <c r="H58" s="154"/>
      <c r="I58" s="154">
        <f>J58*0.991</f>
        <v>3567600</v>
      </c>
      <c r="J58" s="154">
        <v>3600000</v>
      </c>
      <c r="K58" s="154"/>
      <c r="L58" s="481" t="s">
        <v>910</v>
      </c>
      <c r="M58" s="478" t="s">
        <v>912</v>
      </c>
      <c r="N58" s="327" t="s">
        <v>327</v>
      </c>
      <c r="O58" s="432"/>
      <c r="P58" s="191"/>
      <c r="Q58" s="191"/>
      <c r="R58" s="191"/>
      <c r="S58" s="189"/>
      <c r="T58" s="189"/>
      <c r="U58" s="193"/>
      <c r="V58" s="197"/>
      <c r="W58" s="326" t="s">
        <v>327</v>
      </c>
      <c r="X58" s="435"/>
      <c r="Y58" s="189"/>
      <c r="Z58" s="189"/>
      <c r="AA58" s="189"/>
      <c r="AB58" s="189"/>
      <c r="AC58" s="189"/>
      <c r="AD58" s="189"/>
      <c r="AE58" s="189"/>
      <c r="AF58" s="437"/>
      <c r="AG58" s="326"/>
      <c r="AH58" s="435"/>
      <c r="AI58" s="189"/>
      <c r="AJ58" s="189"/>
      <c r="AK58" s="189">
        <f t="shared" ref="AK58:AL58" si="265">I58</f>
        <v>3567600</v>
      </c>
      <c r="AL58" s="189">
        <f t="shared" si="265"/>
        <v>3600000</v>
      </c>
      <c r="AM58" s="189"/>
      <c r="AN58" s="189">
        <f t="shared" si="0"/>
        <v>3567600</v>
      </c>
      <c r="AO58" s="189" t="str">
        <f t="shared" ref="AO58:AP58" si="266">L58</f>
        <v>iSuppli 2010</v>
      </c>
      <c r="AP58" s="437" t="str">
        <f t="shared" si="266"/>
        <v>2009 shipments are 99.1% of 2010 shipments</v>
      </c>
      <c r="AQ58" s="326" t="s">
        <v>327</v>
      </c>
      <c r="AR58" s="452" t="s">
        <v>776</v>
      </c>
      <c r="AS58" s="511">
        <v>0.02</v>
      </c>
      <c r="AT58" s="481" t="s">
        <v>244</v>
      </c>
      <c r="AU58" s="197"/>
      <c r="AV58" s="326"/>
      <c r="AW58" s="445">
        <v>1</v>
      </c>
      <c r="AX58" s="196">
        <v>1</v>
      </c>
      <c r="AY58" s="481" t="s">
        <v>913</v>
      </c>
      <c r="AZ58" s="193" t="s">
        <v>916</v>
      </c>
      <c r="BA58" s="193">
        <v>18</v>
      </c>
      <c r="BB58" s="193">
        <v>15</v>
      </c>
      <c r="BC58" s="193" t="s">
        <v>914</v>
      </c>
      <c r="BD58" s="193"/>
      <c r="BE58" s="193"/>
      <c r="BF58" s="197"/>
      <c r="BG58" s="326"/>
      <c r="BH58" s="445">
        <v>0</v>
      </c>
      <c r="BI58" s="196">
        <v>0</v>
      </c>
      <c r="BJ58" s="193"/>
      <c r="BK58" s="193"/>
      <c r="BL58" s="193"/>
      <c r="BM58" s="193"/>
      <c r="BN58" s="193"/>
      <c r="BO58" s="193"/>
      <c r="BP58" s="193"/>
      <c r="BQ58" s="197"/>
      <c r="BR58" s="326"/>
      <c r="BS58" s="452">
        <v>1</v>
      </c>
      <c r="BT58" s="198">
        <v>0</v>
      </c>
      <c r="BU58" s="198">
        <v>1</v>
      </c>
      <c r="BV58" s="198">
        <v>0</v>
      </c>
      <c r="BW58" s="198">
        <v>0</v>
      </c>
      <c r="BX58" s="198">
        <v>0</v>
      </c>
      <c r="BY58" s="198">
        <v>0</v>
      </c>
      <c r="BZ58" s="198">
        <v>0</v>
      </c>
      <c r="CA58" s="198">
        <v>0</v>
      </c>
      <c r="CB58" s="198">
        <v>0</v>
      </c>
      <c r="CC58" s="198">
        <v>0</v>
      </c>
      <c r="CD58" s="199">
        <v>0</v>
      </c>
      <c r="CE58" s="197" t="s">
        <v>272</v>
      </c>
      <c r="CF58" s="326"/>
      <c r="CG58" s="379">
        <v>0</v>
      </c>
      <c r="CH58" s="380">
        <v>0</v>
      </c>
      <c r="CI58" s="380">
        <v>0</v>
      </c>
      <c r="CJ58" s="380">
        <v>0</v>
      </c>
      <c r="CK58" s="380">
        <v>0</v>
      </c>
      <c r="CL58" s="380">
        <v>0</v>
      </c>
      <c r="CM58" s="380">
        <v>0</v>
      </c>
      <c r="CN58" s="380">
        <v>0</v>
      </c>
      <c r="CO58" s="380">
        <v>0</v>
      </c>
      <c r="CP58" s="386">
        <v>0</v>
      </c>
      <c r="CQ58" s="197" t="s">
        <v>272</v>
      </c>
      <c r="CR58" s="326"/>
      <c r="CS58" s="200">
        <f t="shared" si="225"/>
        <v>3567600</v>
      </c>
      <c r="CT58" s="154">
        <f t="shared" si="226"/>
        <v>0</v>
      </c>
      <c r="CU58" s="154">
        <f t="shared" si="227"/>
        <v>3567600</v>
      </c>
      <c r="CV58" s="154">
        <f t="shared" si="228"/>
        <v>0</v>
      </c>
      <c r="CW58" s="154">
        <f t="shared" si="229"/>
        <v>0</v>
      </c>
      <c r="CX58" s="154">
        <f t="shared" si="230"/>
        <v>0</v>
      </c>
      <c r="CY58" s="154">
        <f t="shared" si="231"/>
        <v>0</v>
      </c>
      <c r="CZ58" s="154">
        <f t="shared" si="232"/>
        <v>0</v>
      </c>
      <c r="DA58" s="154">
        <f t="shared" si="233"/>
        <v>0</v>
      </c>
      <c r="DB58" s="154">
        <f t="shared" si="234"/>
        <v>0</v>
      </c>
      <c r="DC58" s="154">
        <f t="shared" si="235"/>
        <v>0</v>
      </c>
      <c r="DD58" s="154">
        <f t="shared" si="236"/>
        <v>0</v>
      </c>
      <c r="DE58" s="326"/>
      <c r="DF58" s="201">
        <f t="shared" si="237"/>
        <v>0</v>
      </c>
      <c r="DG58" s="202">
        <f t="shared" si="238"/>
        <v>0</v>
      </c>
      <c r="DH58" s="202">
        <f t="shared" si="239"/>
        <v>0</v>
      </c>
      <c r="DI58" s="202">
        <f t="shared" si="240"/>
        <v>0</v>
      </c>
      <c r="DJ58" s="202">
        <f t="shared" si="241"/>
        <v>0</v>
      </c>
      <c r="DK58" s="202">
        <f t="shared" si="242"/>
        <v>0</v>
      </c>
      <c r="DL58" s="202">
        <f t="shared" si="243"/>
        <v>0</v>
      </c>
      <c r="DM58" s="202">
        <f t="shared" si="244"/>
        <v>0</v>
      </c>
      <c r="DN58" s="202">
        <f t="shared" si="245"/>
        <v>0</v>
      </c>
      <c r="DO58" s="203">
        <f t="shared" si="246"/>
        <v>0</v>
      </c>
      <c r="DP58" s="326"/>
      <c r="DQ58" s="200">
        <f t="shared" ref="DQ58" si="267">CS58*(1-$AS58)</f>
        <v>3496248</v>
      </c>
      <c r="DR58" s="154">
        <f t="shared" ref="DR58" si="268">CT58*(1-$AS58)</f>
        <v>0</v>
      </c>
      <c r="DS58" s="154">
        <f t="shared" ref="DS58" si="269">CU58*(1-$AS58)</f>
        <v>3496248</v>
      </c>
      <c r="DT58" s="154">
        <f t="shared" ref="DT58" si="270">CV58*(1-$AS58)</f>
        <v>0</v>
      </c>
      <c r="DU58" s="154">
        <f t="shared" ref="DU58" si="271">CW58*(1-$AS58)</f>
        <v>0</v>
      </c>
      <c r="DV58" s="154">
        <f t="shared" ref="DV58" si="272">CX58*(1-$AS58)</f>
        <v>0</v>
      </c>
      <c r="DW58" s="154">
        <f t="shared" ref="DW58" si="273">CY58*(1-$AS58)</f>
        <v>0</v>
      </c>
      <c r="DX58" s="154">
        <f t="shared" ref="DX58" si="274">CZ58*(1-$AS58)</f>
        <v>0</v>
      </c>
      <c r="DY58" s="154">
        <f t="shared" ref="DY58" si="275">DA58*(1-$AS58)</f>
        <v>0</v>
      </c>
      <c r="DZ58" s="154">
        <f t="shared" ref="DZ58" si="276">DB58*(1-$AS58)</f>
        <v>0</v>
      </c>
      <c r="EA58" s="154">
        <f t="shared" si="40"/>
        <v>0</v>
      </c>
      <c r="EB58" s="154">
        <f t="shared" ref="EB58" si="277">DD58*(1-$AS58)</f>
        <v>0</v>
      </c>
      <c r="EC58" s="326"/>
      <c r="ED58" s="201">
        <f t="shared" ref="ED58" si="278">DF58*(1-$AS58)</f>
        <v>0</v>
      </c>
      <c r="EE58" s="202">
        <f t="shared" ref="EE58" si="279">DG58*(1-$AS58)</f>
        <v>0</v>
      </c>
      <c r="EF58" s="202">
        <f t="shared" ref="EF58" si="280">DH58*(1-$AS58)</f>
        <v>0</v>
      </c>
      <c r="EG58" s="202">
        <f t="shared" ref="EG58" si="281">DI58*(1-$AS58)</f>
        <v>0</v>
      </c>
      <c r="EH58" s="202">
        <f t="shared" ref="EH58" si="282">DJ58*(1-$AS58)</f>
        <v>0</v>
      </c>
      <c r="EI58" s="202">
        <f t="shared" ref="EI58" si="283">DK58*(1-$AS58)</f>
        <v>0</v>
      </c>
      <c r="EJ58" s="202">
        <f t="shared" ref="EJ58" si="284">DL58*(1-$AS58)</f>
        <v>0</v>
      </c>
      <c r="EK58" s="202">
        <f t="shared" ref="EK58" si="285">DM58*(1-$AS58)</f>
        <v>0</v>
      </c>
      <c r="EL58" s="202">
        <f t="shared" ref="EL58" si="286">DN58*(1-$AS58)</f>
        <v>0</v>
      </c>
      <c r="EM58" s="203">
        <f t="shared" ref="EM58" si="287">DO58*(1-$AS58)</f>
        <v>0</v>
      </c>
      <c r="EN58" s="326" t="s">
        <v>327</v>
      </c>
      <c r="EO58" s="200">
        <f t="shared" ref="EO58" si="288">CS58*$AS58</f>
        <v>71352</v>
      </c>
      <c r="EP58" s="154">
        <f t="shared" ref="EP58" si="289">CT58*$AS58</f>
        <v>0</v>
      </c>
      <c r="EQ58" s="154">
        <f t="shared" ref="EQ58" si="290">CU58*$AS58</f>
        <v>71352</v>
      </c>
      <c r="ER58" s="154">
        <f t="shared" ref="ER58" si="291">CV58*$AS58</f>
        <v>0</v>
      </c>
      <c r="ES58" s="154">
        <f t="shared" ref="ES58" si="292">CW58*$AS58</f>
        <v>0</v>
      </c>
      <c r="ET58" s="154">
        <f t="shared" ref="ET58" si="293">CX58*$AS58</f>
        <v>0</v>
      </c>
      <c r="EU58" s="154">
        <f t="shared" ref="EU58" si="294">CY58*$AS58</f>
        <v>0</v>
      </c>
      <c r="EV58" s="154">
        <f t="shared" ref="EV58" si="295">CZ58*$AS58</f>
        <v>0</v>
      </c>
      <c r="EW58" s="154">
        <f t="shared" ref="EW58" si="296">DA58*$AS58</f>
        <v>0</v>
      </c>
      <c r="EX58" s="154">
        <f t="shared" ref="EX58" si="297">DB58*$AS58</f>
        <v>0</v>
      </c>
      <c r="EY58" s="154">
        <f t="shared" si="53"/>
        <v>0</v>
      </c>
      <c r="EZ58" s="154">
        <f t="shared" ref="EZ58" si="298">DD58*$AS58</f>
        <v>0</v>
      </c>
      <c r="FA58" s="326"/>
      <c r="FB58" s="201">
        <f t="shared" ref="FB58" si="299">DF58*$AS58</f>
        <v>0</v>
      </c>
      <c r="FC58" s="202">
        <f t="shared" ref="FC58" si="300">DG58*$AS58</f>
        <v>0</v>
      </c>
      <c r="FD58" s="202">
        <f t="shared" ref="FD58" si="301">DH58*$AS58</f>
        <v>0</v>
      </c>
      <c r="FE58" s="202">
        <f t="shared" ref="FE58" si="302">DI58*$AS58</f>
        <v>0</v>
      </c>
      <c r="FF58" s="202">
        <f t="shared" ref="FF58" si="303">DJ58*$AS58</f>
        <v>0</v>
      </c>
      <c r="FG58" s="202">
        <f t="shared" ref="FG58" si="304">DK58*$AS58</f>
        <v>0</v>
      </c>
      <c r="FH58" s="202">
        <f t="shared" ref="FH58" si="305">DL58*$AS58</f>
        <v>0</v>
      </c>
      <c r="FI58" s="202">
        <f t="shared" ref="FI58" si="306">DM58*$AS58</f>
        <v>0</v>
      </c>
      <c r="FJ58" s="202">
        <f t="shared" ref="FJ58" si="307">DN58*$AS58</f>
        <v>0</v>
      </c>
      <c r="FK58" s="203">
        <f t="shared" ref="FK58" si="308">DO58*$AS58</f>
        <v>0</v>
      </c>
    </row>
    <row r="59" spans="1:167" s="6" customFormat="1">
      <c r="A59" s="204" t="s">
        <v>164</v>
      </c>
      <c r="B59" s="204" t="s">
        <v>167</v>
      </c>
      <c r="C59" s="205" t="s">
        <v>129</v>
      </c>
      <c r="D59" s="206">
        <f t="shared" si="56"/>
        <v>54</v>
      </c>
      <c r="E59" s="327" t="s">
        <v>327</v>
      </c>
      <c r="F59" s="219"/>
      <c r="G59" s="219"/>
      <c r="H59" s="219"/>
      <c r="I59" s="219"/>
      <c r="J59" s="219"/>
      <c r="K59" s="219"/>
      <c r="L59" s="479"/>
      <c r="M59" s="480"/>
      <c r="N59" s="327" t="s">
        <v>327</v>
      </c>
      <c r="O59" s="433"/>
      <c r="P59" s="209"/>
      <c r="Q59" s="209"/>
      <c r="R59" s="209"/>
      <c r="S59" s="207"/>
      <c r="T59" s="207"/>
      <c r="U59" s="211"/>
      <c r="V59" s="215"/>
      <c r="W59" s="326" t="s">
        <v>327</v>
      </c>
      <c r="X59" s="436">
        <v>0</v>
      </c>
      <c r="Y59" s="207">
        <v>0</v>
      </c>
      <c r="Z59" s="207">
        <v>0</v>
      </c>
      <c r="AA59" s="207">
        <v>0</v>
      </c>
      <c r="AB59" s="207">
        <v>1000000</v>
      </c>
      <c r="AC59" s="207">
        <v>0</v>
      </c>
      <c r="AD59" s="207">
        <v>1000000</v>
      </c>
      <c r="AE59" s="207" t="s">
        <v>843</v>
      </c>
      <c r="AF59" s="215" t="s">
        <v>907</v>
      </c>
      <c r="AG59" s="326" t="s">
        <v>327</v>
      </c>
      <c r="AH59" s="436"/>
      <c r="AI59" s="207"/>
      <c r="AJ59" s="207"/>
      <c r="AK59" s="207">
        <f>AD59</f>
        <v>1000000</v>
      </c>
      <c r="AL59" s="207"/>
      <c r="AM59" s="207"/>
      <c r="AN59" s="207">
        <f t="shared" si="0"/>
        <v>1000000</v>
      </c>
      <c r="AO59" s="207" t="str">
        <f>AE59</f>
        <v>DOE estimate</v>
      </c>
      <c r="AP59" s="215" t="str">
        <f>AF59</f>
        <v>Unverified</v>
      </c>
      <c r="AQ59" s="326" t="s">
        <v>327</v>
      </c>
      <c r="AR59" s="441" t="s">
        <v>775</v>
      </c>
      <c r="AS59" s="512">
        <v>0</v>
      </c>
      <c r="AT59" s="479"/>
      <c r="AU59" s="480"/>
      <c r="AV59" s="326" t="s">
        <v>327</v>
      </c>
      <c r="AW59" s="446">
        <v>0.25</v>
      </c>
      <c r="AX59" s="214">
        <v>1</v>
      </c>
      <c r="AY59" s="211" t="s">
        <v>249</v>
      </c>
      <c r="AZ59" s="211" t="s">
        <v>950</v>
      </c>
      <c r="BA59" s="211">
        <v>6</v>
      </c>
      <c r="BB59" s="211">
        <v>1.2</v>
      </c>
      <c r="BC59" s="211" t="s">
        <v>335</v>
      </c>
      <c r="BD59" s="211"/>
      <c r="BE59" s="211"/>
      <c r="BF59" s="215"/>
      <c r="BG59" s="326" t="s">
        <v>327</v>
      </c>
      <c r="BH59" s="446">
        <v>0.25</v>
      </c>
      <c r="BI59" s="214">
        <v>1</v>
      </c>
      <c r="BJ59" s="211" t="s">
        <v>404</v>
      </c>
      <c r="BK59" s="211"/>
      <c r="BL59" s="211">
        <v>4.8</v>
      </c>
      <c r="BM59" s="211">
        <v>62.4</v>
      </c>
      <c r="BN59" s="211" t="s">
        <v>335</v>
      </c>
      <c r="BO59" s="211"/>
      <c r="BP59" s="211"/>
      <c r="BQ59" s="215"/>
      <c r="BR59" s="326" t="s">
        <v>327</v>
      </c>
      <c r="BS59" s="453">
        <v>0</v>
      </c>
      <c r="BT59" s="216">
        <v>0</v>
      </c>
      <c r="BU59" s="216">
        <v>0</v>
      </c>
      <c r="BV59" s="216">
        <v>0</v>
      </c>
      <c r="BW59" s="216">
        <v>0</v>
      </c>
      <c r="BX59" s="216">
        <v>0</v>
      </c>
      <c r="BY59" s="216">
        <v>0</v>
      </c>
      <c r="BZ59" s="216">
        <v>0</v>
      </c>
      <c r="CA59" s="216">
        <v>0</v>
      </c>
      <c r="CB59" s="216">
        <v>0</v>
      </c>
      <c r="CC59" s="216">
        <v>0</v>
      </c>
      <c r="CD59" s="217">
        <v>1</v>
      </c>
      <c r="CE59" s="215" t="s">
        <v>336</v>
      </c>
      <c r="CF59" s="326" t="s">
        <v>327</v>
      </c>
      <c r="CG59" s="377">
        <v>0</v>
      </c>
      <c r="CH59" s="378">
        <v>0</v>
      </c>
      <c r="CI59" s="378">
        <v>1</v>
      </c>
      <c r="CJ59" s="378">
        <v>0</v>
      </c>
      <c r="CK59" s="378">
        <v>0</v>
      </c>
      <c r="CL59" s="378">
        <v>0</v>
      </c>
      <c r="CM59" s="378">
        <v>0</v>
      </c>
      <c r="CN59" s="378">
        <v>0</v>
      </c>
      <c r="CO59" s="378">
        <v>0</v>
      </c>
      <c r="CP59" s="385">
        <v>0</v>
      </c>
      <c r="CQ59" s="215" t="s">
        <v>336</v>
      </c>
      <c r="CR59" s="326" t="s">
        <v>327</v>
      </c>
      <c r="CS59" s="218">
        <f t="shared" si="225"/>
        <v>0</v>
      </c>
      <c r="CT59" s="219">
        <f t="shared" si="226"/>
        <v>0</v>
      </c>
      <c r="CU59" s="219">
        <f t="shared" si="227"/>
        <v>0</v>
      </c>
      <c r="CV59" s="219">
        <f t="shared" si="228"/>
        <v>0</v>
      </c>
      <c r="CW59" s="219">
        <f t="shared" si="229"/>
        <v>0</v>
      </c>
      <c r="CX59" s="219">
        <f t="shared" si="230"/>
        <v>0</v>
      </c>
      <c r="CY59" s="219">
        <f t="shared" si="231"/>
        <v>0</v>
      </c>
      <c r="CZ59" s="219">
        <f t="shared" si="232"/>
        <v>0</v>
      </c>
      <c r="DA59" s="219">
        <f t="shared" si="233"/>
        <v>0</v>
      </c>
      <c r="DB59" s="219">
        <f t="shared" si="234"/>
        <v>0</v>
      </c>
      <c r="DC59" s="219">
        <f t="shared" si="235"/>
        <v>0</v>
      </c>
      <c r="DD59" s="219">
        <f t="shared" si="236"/>
        <v>250000</v>
      </c>
      <c r="DE59" s="326"/>
      <c r="DF59" s="220">
        <f t="shared" si="237"/>
        <v>0</v>
      </c>
      <c r="DG59" s="221">
        <f t="shared" si="238"/>
        <v>0</v>
      </c>
      <c r="DH59" s="221">
        <f t="shared" si="239"/>
        <v>250000</v>
      </c>
      <c r="DI59" s="221">
        <f t="shared" si="240"/>
        <v>0</v>
      </c>
      <c r="DJ59" s="221">
        <f t="shared" si="241"/>
        <v>0</v>
      </c>
      <c r="DK59" s="221">
        <f t="shared" si="242"/>
        <v>0</v>
      </c>
      <c r="DL59" s="221">
        <f t="shared" si="243"/>
        <v>0</v>
      </c>
      <c r="DM59" s="221">
        <f t="shared" si="244"/>
        <v>0</v>
      </c>
      <c r="DN59" s="221">
        <f t="shared" si="245"/>
        <v>0</v>
      </c>
      <c r="DO59" s="222">
        <f t="shared" si="246"/>
        <v>0</v>
      </c>
      <c r="DP59" s="326" t="s">
        <v>327</v>
      </c>
      <c r="DQ59" s="218">
        <f t="shared" si="30"/>
        <v>0</v>
      </c>
      <c r="DR59" s="219">
        <f t="shared" si="100"/>
        <v>0</v>
      </c>
      <c r="DS59" s="219">
        <f t="shared" si="101"/>
        <v>0</v>
      </c>
      <c r="DT59" s="219">
        <f t="shared" si="102"/>
        <v>0</v>
      </c>
      <c r="DU59" s="219">
        <f t="shared" si="103"/>
        <v>0</v>
      </c>
      <c r="DV59" s="219">
        <f t="shared" si="104"/>
        <v>0</v>
      </c>
      <c r="DW59" s="219">
        <f t="shared" si="105"/>
        <v>0</v>
      </c>
      <c r="DX59" s="219">
        <f t="shared" si="106"/>
        <v>0</v>
      </c>
      <c r="DY59" s="219">
        <f t="shared" si="107"/>
        <v>0</v>
      </c>
      <c r="DZ59" s="219">
        <f t="shared" si="108"/>
        <v>0</v>
      </c>
      <c r="EA59" s="219">
        <f t="shared" si="40"/>
        <v>0</v>
      </c>
      <c r="EB59" s="219">
        <f t="shared" si="109"/>
        <v>250000</v>
      </c>
      <c r="EC59" s="326"/>
      <c r="ED59" s="220">
        <f t="shared" si="42"/>
        <v>0</v>
      </c>
      <c r="EE59" s="221">
        <f t="shared" si="128"/>
        <v>0</v>
      </c>
      <c r="EF59" s="221">
        <f t="shared" si="129"/>
        <v>250000</v>
      </c>
      <c r="EG59" s="221">
        <f t="shared" si="130"/>
        <v>0</v>
      </c>
      <c r="EH59" s="221">
        <f t="shared" si="131"/>
        <v>0</v>
      </c>
      <c r="EI59" s="221">
        <f t="shared" si="132"/>
        <v>0</v>
      </c>
      <c r="EJ59" s="221">
        <f t="shared" si="133"/>
        <v>0</v>
      </c>
      <c r="EK59" s="221">
        <f t="shared" si="134"/>
        <v>0</v>
      </c>
      <c r="EL59" s="221">
        <f t="shared" si="135"/>
        <v>0</v>
      </c>
      <c r="EM59" s="222">
        <f t="shared" si="136"/>
        <v>0</v>
      </c>
      <c r="EN59" s="326" t="s">
        <v>327</v>
      </c>
      <c r="EO59" s="218">
        <f t="shared" si="43"/>
        <v>0</v>
      </c>
      <c r="EP59" s="219">
        <f t="shared" si="110"/>
        <v>0</v>
      </c>
      <c r="EQ59" s="219">
        <f t="shared" si="111"/>
        <v>0</v>
      </c>
      <c r="ER59" s="219">
        <f t="shared" si="112"/>
        <v>0</v>
      </c>
      <c r="ES59" s="219">
        <f t="shared" si="113"/>
        <v>0</v>
      </c>
      <c r="ET59" s="219">
        <f t="shared" si="114"/>
        <v>0</v>
      </c>
      <c r="EU59" s="219">
        <f t="shared" si="115"/>
        <v>0</v>
      </c>
      <c r="EV59" s="219">
        <f t="shared" si="116"/>
        <v>0</v>
      </c>
      <c r="EW59" s="219">
        <f t="shared" si="117"/>
        <v>0</v>
      </c>
      <c r="EX59" s="219">
        <f t="shared" si="118"/>
        <v>0</v>
      </c>
      <c r="EY59" s="219">
        <f t="shared" si="53"/>
        <v>0</v>
      </c>
      <c r="EZ59" s="219">
        <f t="shared" si="119"/>
        <v>0</v>
      </c>
      <c r="FA59" s="326"/>
      <c r="FB59" s="220">
        <f t="shared" si="55"/>
        <v>0</v>
      </c>
      <c r="FC59" s="221">
        <f t="shared" si="137"/>
        <v>0</v>
      </c>
      <c r="FD59" s="221">
        <f t="shared" si="138"/>
        <v>0</v>
      </c>
      <c r="FE59" s="221">
        <f t="shared" si="139"/>
        <v>0</v>
      </c>
      <c r="FF59" s="221">
        <f t="shared" si="140"/>
        <v>0</v>
      </c>
      <c r="FG59" s="221">
        <f t="shared" si="141"/>
        <v>0</v>
      </c>
      <c r="FH59" s="221">
        <f t="shared" si="142"/>
        <v>0</v>
      </c>
      <c r="FI59" s="221">
        <f t="shared" si="143"/>
        <v>0</v>
      </c>
      <c r="FJ59" s="221">
        <f t="shared" si="144"/>
        <v>0</v>
      </c>
      <c r="FK59" s="222">
        <f t="shared" si="145"/>
        <v>0</v>
      </c>
    </row>
    <row r="60" spans="1:167" s="6" customFormat="1">
      <c r="A60" s="186" t="s">
        <v>164</v>
      </c>
      <c r="B60" s="186" t="s">
        <v>167</v>
      </c>
      <c r="C60" s="187" t="s">
        <v>130</v>
      </c>
      <c r="D60" s="188">
        <f t="shared" si="56"/>
        <v>55</v>
      </c>
      <c r="E60" s="327" t="s">
        <v>327</v>
      </c>
      <c r="F60" s="154"/>
      <c r="G60" s="154"/>
      <c r="H60" s="154"/>
      <c r="I60" s="154"/>
      <c r="J60" s="154"/>
      <c r="K60" s="154"/>
      <c r="L60" s="156"/>
      <c r="M60" s="478"/>
      <c r="N60" s="327" t="s">
        <v>327</v>
      </c>
      <c r="O60" s="432"/>
      <c r="P60" s="191"/>
      <c r="Q60" s="191"/>
      <c r="R60" s="191"/>
      <c r="S60" s="189"/>
      <c r="T60" s="189"/>
      <c r="U60" s="193"/>
      <c r="V60" s="197"/>
      <c r="W60" s="326" t="s">
        <v>327</v>
      </c>
      <c r="X60" s="435">
        <v>0</v>
      </c>
      <c r="Y60" s="189">
        <v>0</v>
      </c>
      <c r="Z60" s="189">
        <v>0</v>
      </c>
      <c r="AA60" s="189">
        <v>0</v>
      </c>
      <c r="AB60" s="189">
        <v>3500000</v>
      </c>
      <c r="AC60" s="189">
        <v>0</v>
      </c>
      <c r="AD60" s="189">
        <v>3500000</v>
      </c>
      <c r="AE60" s="189" t="s">
        <v>843</v>
      </c>
      <c r="AF60" s="189" t="s">
        <v>928</v>
      </c>
      <c r="AG60" s="326" t="s">
        <v>327</v>
      </c>
      <c r="AH60" s="435"/>
      <c r="AI60" s="189"/>
      <c r="AJ60" s="189"/>
      <c r="AK60" s="189">
        <f t="shared" ref="AK60:AK63" si="309">AD60</f>
        <v>3500000</v>
      </c>
      <c r="AL60" s="189"/>
      <c r="AM60" s="189"/>
      <c r="AN60" s="189">
        <f t="shared" ref="AN60:AN63" si="310">AK60</f>
        <v>3500000</v>
      </c>
      <c r="AO60" s="189" t="str">
        <f t="shared" ref="AO60:AO63" si="311">AE60</f>
        <v>DOE estimate</v>
      </c>
      <c r="AP60" s="437" t="str">
        <f t="shared" ref="AP60:AP63" si="312">AF60</f>
        <v>Based on fish ownership rate and assumed 5 year lifetime</v>
      </c>
      <c r="AQ60" s="326" t="s">
        <v>327</v>
      </c>
      <c r="AR60" s="439" t="s">
        <v>776</v>
      </c>
      <c r="AS60" s="511">
        <v>0.23</v>
      </c>
      <c r="AT60" s="481" t="s">
        <v>244</v>
      </c>
      <c r="AU60" s="197" t="s">
        <v>898</v>
      </c>
      <c r="AV60" s="326" t="s">
        <v>327</v>
      </c>
      <c r="AW60" s="445">
        <v>1</v>
      </c>
      <c r="AX60" s="196">
        <v>1</v>
      </c>
      <c r="AY60" s="192" t="s">
        <v>249</v>
      </c>
      <c r="AZ60" s="193"/>
      <c r="BA60" s="193">
        <v>9</v>
      </c>
      <c r="BB60" s="193">
        <v>1.8</v>
      </c>
      <c r="BC60" s="193" t="s">
        <v>311</v>
      </c>
      <c r="BD60" s="193"/>
      <c r="BE60" s="193"/>
      <c r="BF60" s="197"/>
      <c r="BG60" s="326" t="s">
        <v>327</v>
      </c>
      <c r="BH60" s="445">
        <v>0</v>
      </c>
      <c r="BI60" s="196">
        <v>1</v>
      </c>
      <c r="BJ60" s="193" t="s">
        <v>400</v>
      </c>
      <c r="BK60" s="193"/>
      <c r="BL60" s="193" t="s">
        <v>283</v>
      </c>
      <c r="BM60" s="193" t="s">
        <v>283</v>
      </c>
      <c r="BN60" s="193" t="s">
        <v>283</v>
      </c>
      <c r="BO60" s="193">
        <v>5</v>
      </c>
      <c r="BP60" s="193">
        <v>4.5</v>
      </c>
      <c r="BQ60" s="197" t="s">
        <v>452</v>
      </c>
      <c r="BR60" s="326" t="s">
        <v>327</v>
      </c>
      <c r="BS60" s="452">
        <v>0</v>
      </c>
      <c r="BT60" s="198">
        <v>0</v>
      </c>
      <c r="BU60" s="198">
        <v>0</v>
      </c>
      <c r="BV60" s="198">
        <v>0</v>
      </c>
      <c r="BW60" s="198">
        <v>0</v>
      </c>
      <c r="BX60" s="198">
        <v>0</v>
      </c>
      <c r="BY60" s="198">
        <v>0.5</v>
      </c>
      <c r="BZ60" s="198">
        <v>0.5</v>
      </c>
      <c r="CA60" s="198">
        <v>0</v>
      </c>
      <c r="CB60" s="198">
        <v>0</v>
      </c>
      <c r="CC60" s="198">
        <v>0</v>
      </c>
      <c r="CD60" s="199">
        <v>0</v>
      </c>
      <c r="CE60" s="197" t="s">
        <v>249</v>
      </c>
      <c r="CF60" s="326" t="s">
        <v>327</v>
      </c>
      <c r="CG60" s="379">
        <v>0</v>
      </c>
      <c r="CH60" s="380">
        <v>0</v>
      </c>
      <c r="CI60" s="380">
        <v>0</v>
      </c>
      <c r="CJ60" s="380">
        <v>0</v>
      </c>
      <c r="CK60" s="380">
        <v>0</v>
      </c>
      <c r="CL60" s="380">
        <v>0</v>
      </c>
      <c r="CM60" s="380">
        <v>0</v>
      </c>
      <c r="CN60" s="380">
        <v>0</v>
      </c>
      <c r="CO60" s="380">
        <v>0</v>
      </c>
      <c r="CP60" s="386">
        <v>0</v>
      </c>
      <c r="CQ60" s="197" t="s">
        <v>249</v>
      </c>
      <c r="CR60" s="326" t="s">
        <v>327</v>
      </c>
      <c r="CS60" s="200">
        <f t="shared" si="225"/>
        <v>0</v>
      </c>
      <c r="CT60" s="154">
        <f t="shared" si="226"/>
        <v>0</v>
      </c>
      <c r="CU60" s="154">
        <f t="shared" si="227"/>
        <v>0</v>
      </c>
      <c r="CV60" s="154">
        <f t="shared" si="228"/>
        <v>0</v>
      </c>
      <c r="CW60" s="154">
        <f t="shared" si="229"/>
        <v>0</v>
      </c>
      <c r="CX60" s="154">
        <f t="shared" si="230"/>
        <v>0</v>
      </c>
      <c r="CY60" s="154">
        <f t="shared" si="231"/>
        <v>1750000</v>
      </c>
      <c r="CZ60" s="154">
        <f t="shared" si="232"/>
        <v>1750000</v>
      </c>
      <c r="DA60" s="154">
        <f t="shared" si="233"/>
        <v>0</v>
      </c>
      <c r="DB60" s="154">
        <f t="shared" si="234"/>
        <v>0</v>
      </c>
      <c r="DC60" s="154">
        <f t="shared" si="235"/>
        <v>0</v>
      </c>
      <c r="DD60" s="154">
        <f t="shared" si="236"/>
        <v>0</v>
      </c>
      <c r="DE60" s="326"/>
      <c r="DF60" s="201">
        <f t="shared" si="237"/>
        <v>0</v>
      </c>
      <c r="DG60" s="202">
        <f t="shared" si="238"/>
        <v>0</v>
      </c>
      <c r="DH60" s="202">
        <f t="shared" si="239"/>
        <v>0</v>
      </c>
      <c r="DI60" s="202">
        <f t="shared" si="240"/>
        <v>0</v>
      </c>
      <c r="DJ60" s="202">
        <f t="shared" si="241"/>
        <v>0</v>
      </c>
      <c r="DK60" s="202">
        <f t="shared" si="242"/>
        <v>0</v>
      </c>
      <c r="DL60" s="202">
        <f t="shared" si="243"/>
        <v>0</v>
      </c>
      <c r="DM60" s="202">
        <f t="shared" si="244"/>
        <v>0</v>
      </c>
      <c r="DN60" s="202">
        <f t="shared" si="245"/>
        <v>0</v>
      </c>
      <c r="DO60" s="203">
        <f t="shared" si="246"/>
        <v>0</v>
      </c>
      <c r="DP60" s="326" t="s">
        <v>327</v>
      </c>
      <c r="DQ60" s="200">
        <f t="shared" si="30"/>
        <v>0</v>
      </c>
      <c r="DR60" s="154">
        <f t="shared" si="100"/>
        <v>0</v>
      </c>
      <c r="DS60" s="154">
        <f t="shared" si="101"/>
        <v>0</v>
      </c>
      <c r="DT60" s="154">
        <f t="shared" si="102"/>
        <v>0</v>
      </c>
      <c r="DU60" s="154">
        <f t="shared" si="103"/>
        <v>0</v>
      </c>
      <c r="DV60" s="154">
        <f t="shared" si="104"/>
        <v>0</v>
      </c>
      <c r="DW60" s="154">
        <f t="shared" si="105"/>
        <v>1347500</v>
      </c>
      <c r="DX60" s="154">
        <f t="shared" si="106"/>
        <v>1347500</v>
      </c>
      <c r="DY60" s="154">
        <f t="shared" si="107"/>
        <v>0</v>
      </c>
      <c r="DZ60" s="154">
        <f t="shared" si="108"/>
        <v>0</v>
      </c>
      <c r="EA60" s="154">
        <f t="shared" si="40"/>
        <v>0</v>
      </c>
      <c r="EB60" s="154">
        <f t="shared" si="109"/>
        <v>0</v>
      </c>
      <c r="EC60" s="326"/>
      <c r="ED60" s="201">
        <f t="shared" si="42"/>
        <v>0</v>
      </c>
      <c r="EE60" s="202">
        <f t="shared" si="128"/>
        <v>0</v>
      </c>
      <c r="EF60" s="202">
        <f t="shared" si="129"/>
        <v>0</v>
      </c>
      <c r="EG60" s="202">
        <f t="shared" si="130"/>
        <v>0</v>
      </c>
      <c r="EH60" s="202">
        <f t="shared" si="131"/>
        <v>0</v>
      </c>
      <c r="EI60" s="202">
        <f t="shared" si="132"/>
        <v>0</v>
      </c>
      <c r="EJ60" s="202">
        <f t="shared" si="133"/>
        <v>0</v>
      </c>
      <c r="EK60" s="202">
        <f t="shared" si="134"/>
        <v>0</v>
      </c>
      <c r="EL60" s="202">
        <f t="shared" si="135"/>
        <v>0</v>
      </c>
      <c r="EM60" s="203">
        <f t="shared" si="136"/>
        <v>0</v>
      </c>
      <c r="EN60" s="326" t="s">
        <v>327</v>
      </c>
      <c r="EO60" s="200">
        <f t="shared" si="43"/>
        <v>0</v>
      </c>
      <c r="EP60" s="154">
        <f t="shared" si="110"/>
        <v>0</v>
      </c>
      <c r="EQ60" s="154">
        <f t="shared" si="111"/>
        <v>0</v>
      </c>
      <c r="ER60" s="154">
        <f t="shared" si="112"/>
        <v>0</v>
      </c>
      <c r="ES60" s="154">
        <f t="shared" si="113"/>
        <v>0</v>
      </c>
      <c r="ET60" s="154">
        <f t="shared" si="114"/>
        <v>0</v>
      </c>
      <c r="EU60" s="154">
        <f t="shared" si="115"/>
        <v>402500</v>
      </c>
      <c r="EV60" s="154">
        <f t="shared" si="116"/>
        <v>402500</v>
      </c>
      <c r="EW60" s="154">
        <f t="shared" si="117"/>
        <v>0</v>
      </c>
      <c r="EX60" s="154">
        <f t="shared" si="118"/>
        <v>0</v>
      </c>
      <c r="EY60" s="154">
        <f t="shared" si="53"/>
        <v>0</v>
      </c>
      <c r="EZ60" s="154">
        <f t="shared" si="119"/>
        <v>0</v>
      </c>
      <c r="FA60" s="326"/>
      <c r="FB60" s="201">
        <f t="shared" si="55"/>
        <v>0</v>
      </c>
      <c r="FC60" s="202">
        <f t="shared" si="137"/>
        <v>0</v>
      </c>
      <c r="FD60" s="202">
        <f t="shared" si="138"/>
        <v>0</v>
      </c>
      <c r="FE60" s="202">
        <f t="shared" si="139"/>
        <v>0</v>
      </c>
      <c r="FF60" s="202">
        <f t="shared" si="140"/>
        <v>0</v>
      </c>
      <c r="FG60" s="202">
        <f t="shared" si="141"/>
        <v>0</v>
      </c>
      <c r="FH60" s="202">
        <f t="shared" si="142"/>
        <v>0</v>
      </c>
      <c r="FI60" s="202">
        <f t="shared" si="143"/>
        <v>0</v>
      </c>
      <c r="FJ60" s="202">
        <f t="shared" si="144"/>
        <v>0</v>
      </c>
      <c r="FK60" s="203">
        <f t="shared" si="145"/>
        <v>0</v>
      </c>
    </row>
    <row r="61" spans="1:167" s="6" customFormat="1">
      <c r="A61" s="204" t="s">
        <v>164</v>
      </c>
      <c r="B61" s="204" t="s">
        <v>167</v>
      </c>
      <c r="C61" s="205" t="s">
        <v>132</v>
      </c>
      <c r="D61" s="206">
        <f t="shared" si="56"/>
        <v>56</v>
      </c>
      <c r="E61" s="327" t="s">
        <v>327</v>
      </c>
      <c r="F61" s="219"/>
      <c r="G61" s="219"/>
      <c r="H61" s="219"/>
      <c r="I61" s="219"/>
      <c r="J61" s="219"/>
      <c r="K61" s="219"/>
      <c r="L61" s="479"/>
      <c r="M61" s="480"/>
      <c r="N61" s="327" t="s">
        <v>327</v>
      </c>
      <c r="O61" s="433"/>
      <c r="P61" s="209"/>
      <c r="Q61" s="209"/>
      <c r="R61" s="209"/>
      <c r="S61" s="207"/>
      <c r="T61" s="207"/>
      <c r="U61" s="211"/>
      <c r="V61" s="215"/>
      <c r="W61" s="326" t="s">
        <v>327</v>
      </c>
      <c r="X61" s="436">
        <v>0</v>
      </c>
      <c r="Y61" s="207">
        <v>0</v>
      </c>
      <c r="Z61" s="207">
        <v>0</v>
      </c>
      <c r="AA61" s="207">
        <v>0</v>
      </c>
      <c r="AB61" s="207">
        <v>1000000</v>
      </c>
      <c r="AC61" s="207">
        <v>0</v>
      </c>
      <c r="AD61" s="207">
        <v>1000000</v>
      </c>
      <c r="AE61" s="207" t="s">
        <v>843</v>
      </c>
      <c r="AF61" s="215" t="s">
        <v>907</v>
      </c>
      <c r="AG61" s="326" t="s">
        <v>327</v>
      </c>
      <c r="AH61" s="436"/>
      <c r="AI61" s="207"/>
      <c r="AJ61" s="207"/>
      <c r="AK61" s="207">
        <f t="shared" si="309"/>
        <v>1000000</v>
      </c>
      <c r="AL61" s="207"/>
      <c r="AM61" s="207"/>
      <c r="AN61" s="207">
        <f t="shared" si="310"/>
        <v>1000000</v>
      </c>
      <c r="AO61" s="207" t="str">
        <f t="shared" si="311"/>
        <v>DOE estimate</v>
      </c>
      <c r="AP61" s="215" t="str">
        <f t="shared" si="312"/>
        <v>Unverified</v>
      </c>
      <c r="AQ61" s="326" t="s">
        <v>327</v>
      </c>
      <c r="AR61" s="441" t="s">
        <v>775</v>
      </c>
      <c r="AS61" s="512">
        <v>0</v>
      </c>
      <c r="AT61" s="479"/>
      <c r="AU61" s="480"/>
      <c r="AV61" s="326" t="s">
        <v>327</v>
      </c>
      <c r="AW61" s="446">
        <v>1</v>
      </c>
      <c r="AX61" s="214">
        <v>1</v>
      </c>
      <c r="AY61" s="211" t="s">
        <v>249</v>
      </c>
      <c r="AZ61" s="211"/>
      <c r="BA61" s="211">
        <v>9</v>
      </c>
      <c r="BB61" s="211">
        <v>1.8</v>
      </c>
      <c r="BC61" s="211" t="s">
        <v>310</v>
      </c>
      <c r="BD61" s="211"/>
      <c r="BE61" s="211"/>
      <c r="BF61" s="215"/>
      <c r="BG61" s="326" t="s">
        <v>327</v>
      </c>
      <c r="BH61" s="446">
        <v>0</v>
      </c>
      <c r="BI61" s="214">
        <v>1</v>
      </c>
      <c r="BJ61" s="211" t="s">
        <v>400</v>
      </c>
      <c r="BK61" s="211"/>
      <c r="BL61" s="211" t="s">
        <v>283</v>
      </c>
      <c r="BM61" s="211" t="s">
        <v>283</v>
      </c>
      <c r="BN61" s="211" t="s">
        <v>283</v>
      </c>
      <c r="BO61" s="211">
        <v>5</v>
      </c>
      <c r="BP61" s="211">
        <v>4.5</v>
      </c>
      <c r="BQ61" s="215" t="s">
        <v>452</v>
      </c>
      <c r="BR61" s="326" t="s">
        <v>327</v>
      </c>
      <c r="BS61" s="453">
        <v>0</v>
      </c>
      <c r="BT61" s="216">
        <v>0</v>
      </c>
      <c r="BU61" s="216">
        <v>0</v>
      </c>
      <c r="BV61" s="216">
        <v>0</v>
      </c>
      <c r="BW61" s="216">
        <v>0</v>
      </c>
      <c r="BX61" s="216">
        <v>0</v>
      </c>
      <c r="BY61" s="216">
        <v>0.5</v>
      </c>
      <c r="BZ61" s="216">
        <v>0.5</v>
      </c>
      <c r="CA61" s="216">
        <v>0</v>
      </c>
      <c r="CB61" s="216">
        <v>0</v>
      </c>
      <c r="CC61" s="216">
        <v>0</v>
      </c>
      <c r="CD61" s="217">
        <v>0</v>
      </c>
      <c r="CE61" s="215" t="s">
        <v>249</v>
      </c>
      <c r="CF61" s="326" t="s">
        <v>327</v>
      </c>
      <c r="CG61" s="377">
        <v>0</v>
      </c>
      <c r="CH61" s="378">
        <v>0</v>
      </c>
      <c r="CI61" s="378">
        <v>0</v>
      </c>
      <c r="CJ61" s="378">
        <v>0</v>
      </c>
      <c r="CK61" s="378">
        <v>0</v>
      </c>
      <c r="CL61" s="378">
        <v>0</v>
      </c>
      <c r="CM61" s="378">
        <v>0</v>
      </c>
      <c r="CN61" s="378">
        <v>0</v>
      </c>
      <c r="CO61" s="378">
        <v>0</v>
      </c>
      <c r="CP61" s="385">
        <v>0</v>
      </c>
      <c r="CQ61" s="215" t="s">
        <v>249</v>
      </c>
      <c r="CR61" s="326" t="s">
        <v>327</v>
      </c>
      <c r="CS61" s="218">
        <f t="shared" si="225"/>
        <v>0</v>
      </c>
      <c r="CT61" s="219">
        <f t="shared" si="226"/>
        <v>0</v>
      </c>
      <c r="CU61" s="219">
        <f t="shared" si="227"/>
        <v>0</v>
      </c>
      <c r="CV61" s="219">
        <f t="shared" si="228"/>
        <v>0</v>
      </c>
      <c r="CW61" s="219">
        <f t="shared" si="229"/>
        <v>0</v>
      </c>
      <c r="CX61" s="219">
        <f t="shared" si="230"/>
        <v>0</v>
      </c>
      <c r="CY61" s="219">
        <f t="shared" si="231"/>
        <v>500000</v>
      </c>
      <c r="CZ61" s="219">
        <f t="shared" si="232"/>
        <v>500000</v>
      </c>
      <c r="DA61" s="219">
        <f t="shared" si="233"/>
        <v>0</v>
      </c>
      <c r="DB61" s="219">
        <f t="shared" si="234"/>
        <v>0</v>
      </c>
      <c r="DC61" s="219">
        <f t="shared" si="235"/>
        <v>0</v>
      </c>
      <c r="DD61" s="219">
        <f t="shared" si="236"/>
        <v>0</v>
      </c>
      <c r="DE61" s="326"/>
      <c r="DF61" s="220">
        <f t="shared" si="237"/>
        <v>0</v>
      </c>
      <c r="DG61" s="221">
        <f t="shared" si="238"/>
        <v>0</v>
      </c>
      <c r="DH61" s="221">
        <f t="shared" si="239"/>
        <v>0</v>
      </c>
      <c r="DI61" s="221">
        <f t="shared" si="240"/>
        <v>0</v>
      </c>
      <c r="DJ61" s="221">
        <f t="shared" si="241"/>
        <v>0</v>
      </c>
      <c r="DK61" s="221">
        <f t="shared" si="242"/>
        <v>0</v>
      </c>
      <c r="DL61" s="221">
        <f t="shared" si="243"/>
        <v>0</v>
      </c>
      <c r="DM61" s="221">
        <f t="shared" si="244"/>
        <v>0</v>
      </c>
      <c r="DN61" s="221">
        <f t="shared" si="245"/>
        <v>0</v>
      </c>
      <c r="DO61" s="222">
        <f t="shared" si="246"/>
        <v>0</v>
      </c>
      <c r="DP61" s="326" t="s">
        <v>327</v>
      </c>
      <c r="DQ61" s="218">
        <f t="shared" si="30"/>
        <v>0</v>
      </c>
      <c r="DR61" s="219">
        <f t="shared" si="100"/>
        <v>0</v>
      </c>
      <c r="DS61" s="219">
        <f t="shared" si="101"/>
        <v>0</v>
      </c>
      <c r="DT61" s="219">
        <f t="shared" si="102"/>
        <v>0</v>
      </c>
      <c r="DU61" s="219">
        <f t="shared" si="103"/>
        <v>0</v>
      </c>
      <c r="DV61" s="219">
        <f t="shared" si="104"/>
        <v>0</v>
      </c>
      <c r="DW61" s="219">
        <f t="shared" si="105"/>
        <v>500000</v>
      </c>
      <c r="DX61" s="219">
        <f t="shared" si="106"/>
        <v>500000</v>
      </c>
      <c r="DY61" s="219">
        <f t="shared" si="107"/>
        <v>0</v>
      </c>
      <c r="DZ61" s="219">
        <f t="shared" si="108"/>
        <v>0</v>
      </c>
      <c r="EA61" s="219">
        <f t="shared" si="40"/>
        <v>0</v>
      </c>
      <c r="EB61" s="219">
        <f t="shared" si="109"/>
        <v>0</v>
      </c>
      <c r="EC61" s="326"/>
      <c r="ED61" s="220">
        <f t="shared" si="42"/>
        <v>0</v>
      </c>
      <c r="EE61" s="221">
        <f t="shared" si="128"/>
        <v>0</v>
      </c>
      <c r="EF61" s="221">
        <f t="shared" si="129"/>
        <v>0</v>
      </c>
      <c r="EG61" s="221">
        <f t="shared" si="130"/>
        <v>0</v>
      </c>
      <c r="EH61" s="221">
        <f t="shared" si="131"/>
        <v>0</v>
      </c>
      <c r="EI61" s="221">
        <f t="shared" si="132"/>
        <v>0</v>
      </c>
      <c r="EJ61" s="221">
        <f t="shared" si="133"/>
        <v>0</v>
      </c>
      <c r="EK61" s="221">
        <f t="shared" si="134"/>
        <v>0</v>
      </c>
      <c r="EL61" s="221">
        <f t="shared" si="135"/>
        <v>0</v>
      </c>
      <c r="EM61" s="222">
        <f t="shared" si="136"/>
        <v>0</v>
      </c>
      <c r="EN61" s="326" t="s">
        <v>327</v>
      </c>
      <c r="EO61" s="218">
        <f t="shared" si="43"/>
        <v>0</v>
      </c>
      <c r="EP61" s="219">
        <f t="shared" si="110"/>
        <v>0</v>
      </c>
      <c r="EQ61" s="219">
        <f t="shared" si="111"/>
        <v>0</v>
      </c>
      <c r="ER61" s="219">
        <f t="shared" si="112"/>
        <v>0</v>
      </c>
      <c r="ES61" s="219">
        <f t="shared" si="113"/>
        <v>0</v>
      </c>
      <c r="ET61" s="219">
        <f t="shared" si="114"/>
        <v>0</v>
      </c>
      <c r="EU61" s="219">
        <f t="shared" si="115"/>
        <v>0</v>
      </c>
      <c r="EV61" s="219">
        <f t="shared" si="116"/>
        <v>0</v>
      </c>
      <c r="EW61" s="219">
        <f t="shared" si="117"/>
        <v>0</v>
      </c>
      <c r="EX61" s="219">
        <f t="shared" si="118"/>
        <v>0</v>
      </c>
      <c r="EY61" s="219">
        <f t="shared" si="53"/>
        <v>0</v>
      </c>
      <c r="EZ61" s="219">
        <f t="shared" si="119"/>
        <v>0</v>
      </c>
      <c r="FA61" s="326"/>
      <c r="FB61" s="220">
        <f t="shared" si="55"/>
        <v>0</v>
      </c>
      <c r="FC61" s="221">
        <f t="shared" si="137"/>
        <v>0</v>
      </c>
      <c r="FD61" s="221">
        <f t="shared" si="138"/>
        <v>0</v>
      </c>
      <c r="FE61" s="221">
        <f t="shared" si="139"/>
        <v>0</v>
      </c>
      <c r="FF61" s="221">
        <f t="shared" si="140"/>
        <v>0</v>
      </c>
      <c r="FG61" s="221">
        <f t="shared" si="141"/>
        <v>0</v>
      </c>
      <c r="FH61" s="221">
        <f t="shared" si="142"/>
        <v>0</v>
      </c>
      <c r="FI61" s="221">
        <f t="shared" si="143"/>
        <v>0</v>
      </c>
      <c r="FJ61" s="221">
        <f t="shared" si="144"/>
        <v>0</v>
      </c>
      <c r="FK61" s="222">
        <f t="shared" si="145"/>
        <v>0</v>
      </c>
    </row>
    <row r="62" spans="1:167" s="6" customFormat="1">
      <c r="A62" s="186" t="s">
        <v>164</v>
      </c>
      <c r="B62" s="186" t="s">
        <v>167</v>
      </c>
      <c r="C62" s="187" t="s">
        <v>231</v>
      </c>
      <c r="D62" s="188">
        <f t="shared" si="56"/>
        <v>57</v>
      </c>
      <c r="E62" s="327" t="s">
        <v>327</v>
      </c>
      <c r="F62" s="154"/>
      <c r="G62" s="154"/>
      <c r="H62" s="154"/>
      <c r="I62" s="154"/>
      <c r="J62" s="154"/>
      <c r="K62" s="154"/>
      <c r="L62" s="481"/>
      <c r="M62" s="478"/>
      <c r="N62" s="327" t="s">
        <v>327</v>
      </c>
      <c r="O62" s="432"/>
      <c r="P62" s="191"/>
      <c r="Q62" s="191"/>
      <c r="R62" s="191"/>
      <c r="S62" s="189"/>
      <c r="T62" s="189"/>
      <c r="U62" s="193"/>
      <c r="V62" s="197"/>
      <c r="W62" s="326" t="s">
        <v>327</v>
      </c>
      <c r="X62" s="435">
        <v>0</v>
      </c>
      <c r="Y62" s="189">
        <v>0</v>
      </c>
      <c r="Z62" s="189">
        <v>0</v>
      </c>
      <c r="AA62" s="189">
        <v>0</v>
      </c>
      <c r="AB62" s="189">
        <v>100000</v>
      </c>
      <c r="AC62" s="189">
        <v>0</v>
      </c>
      <c r="AD62" s="189">
        <v>100000</v>
      </c>
      <c r="AE62" s="189" t="s">
        <v>926</v>
      </c>
      <c r="AF62" s="197" t="s">
        <v>327</v>
      </c>
      <c r="AG62" s="326" t="s">
        <v>327</v>
      </c>
      <c r="AH62" s="435"/>
      <c r="AI62" s="189"/>
      <c r="AJ62" s="189"/>
      <c r="AK62" s="189">
        <f t="shared" si="309"/>
        <v>100000</v>
      </c>
      <c r="AL62" s="189"/>
      <c r="AM62" s="189"/>
      <c r="AN62" s="189">
        <f t="shared" si="310"/>
        <v>100000</v>
      </c>
      <c r="AO62" s="189" t="str">
        <f t="shared" si="311"/>
        <v>PG&amp;E 2008</v>
      </c>
      <c r="AP62" s="197" t="str">
        <f t="shared" si="312"/>
        <v xml:space="preserve"> </v>
      </c>
      <c r="AQ62" s="326" t="s">
        <v>327</v>
      </c>
      <c r="AR62" s="439" t="s">
        <v>775</v>
      </c>
      <c r="AS62" s="511">
        <v>0</v>
      </c>
      <c r="AT62" s="193"/>
      <c r="AU62" s="197"/>
      <c r="AV62" s="326" t="s">
        <v>327</v>
      </c>
      <c r="AW62" s="445">
        <v>1</v>
      </c>
      <c r="AX62" s="196">
        <v>1</v>
      </c>
      <c r="AY62" s="193" t="s">
        <v>249</v>
      </c>
      <c r="AZ62" s="193"/>
      <c r="BA62" s="193"/>
      <c r="BB62" s="193"/>
      <c r="BC62" s="193"/>
      <c r="BD62" s="193"/>
      <c r="BE62" s="193"/>
      <c r="BF62" s="197"/>
      <c r="BG62" s="326" t="s">
        <v>327</v>
      </c>
      <c r="BH62" s="445">
        <v>1</v>
      </c>
      <c r="BI62" s="196">
        <v>1</v>
      </c>
      <c r="BJ62" s="193" t="s">
        <v>249</v>
      </c>
      <c r="BK62" s="193"/>
      <c r="BL62" s="193"/>
      <c r="BM62" s="193"/>
      <c r="BN62" s="193"/>
      <c r="BO62" s="193"/>
      <c r="BP62" s="193"/>
      <c r="BQ62" s="197"/>
      <c r="BR62" s="326" t="s">
        <v>327</v>
      </c>
      <c r="BS62" s="452">
        <v>0</v>
      </c>
      <c r="BT62" s="198">
        <v>0</v>
      </c>
      <c r="BU62" s="198">
        <v>0</v>
      </c>
      <c r="BV62" s="198">
        <v>0</v>
      </c>
      <c r="BW62" s="198">
        <v>0</v>
      </c>
      <c r="BX62" s="198">
        <v>0</v>
      </c>
      <c r="BY62" s="198">
        <v>0</v>
      </c>
      <c r="BZ62" s="198">
        <v>0</v>
      </c>
      <c r="CA62" s="198">
        <v>0</v>
      </c>
      <c r="CB62" s="198">
        <v>0</v>
      </c>
      <c r="CC62" s="198">
        <v>0</v>
      </c>
      <c r="CD62" s="199">
        <v>1</v>
      </c>
      <c r="CE62" s="197" t="s">
        <v>442</v>
      </c>
      <c r="CF62" s="326" t="s">
        <v>327</v>
      </c>
      <c r="CG62" s="379">
        <v>0</v>
      </c>
      <c r="CH62" s="380">
        <v>0</v>
      </c>
      <c r="CI62" s="380">
        <v>0</v>
      </c>
      <c r="CJ62" s="380">
        <v>0.5</v>
      </c>
      <c r="CK62" s="380">
        <v>0</v>
      </c>
      <c r="CL62" s="380">
        <v>0</v>
      </c>
      <c r="CM62" s="380">
        <v>0</v>
      </c>
      <c r="CN62" s="380">
        <v>0</v>
      </c>
      <c r="CO62" s="380">
        <v>0.5</v>
      </c>
      <c r="CP62" s="386">
        <v>0</v>
      </c>
      <c r="CQ62" s="197" t="s">
        <v>442</v>
      </c>
      <c r="CR62" s="326" t="s">
        <v>327</v>
      </c>
      <c r="CS62" s="200">
        <f t="shared" si="225"/>
        <v>0</v>
      </c>
      <c r="CT62" s="154">
        <f t="shared" si="226"/>
        <v>0</v>
      </c>
      <c r="CU62" s="154">
        <f t="shared" si="227"/>
        <v>0</v>
      </c>
      <c r="CV62" s="154">
        <f t="shared" si="228"/>
        <v>0</v>
      </c>
      <c r="CW62" s="154">
        <f t="shared" si="229"/>
        <v>0</v>
      </c>
      <c r="CX62" s="154">
        <f t="shared" si="230"/>
        <v>0</v>
      </c>
      <c r="CY62" s="154">
        <f t="shared" si="231"/>
        <v>0</v>
      </c>
      <c r="CZ62" s="154">
        <f t="shared" si="232"/>
        <v>0</v>
      </c>
      <c r="DA62" s="154">
        <f t="shared" si="233"/>
        <v>0</v>
      </c>
      <c r="DB62" s="154">
        <f t="shared" si="234"/>
        <v>0</v>
      </c>
      <c r="DC62" s="154">
        <f t="shared" si="235"/>
        <v>0</v>
      </c>
      <c r="DD62" s="154">
        <f t="shared" si="236"/>
        <v>100000</v>
      </c>
      <c r="DE62" s="326"/>
      <c r="DF62" s="201">
        <f t="shared" si="237"/>
        <v>0</v>
      </c>
      <c r="DG62" s="202">
        <f t="shared" si="238"/>
        <v>0</v>
      </c>
      <c r="DH62" s="202">
        <f t="shared" si="239"/>
        <v>0</v>
      </c>
      <c r="DI62" s="202">
        <f t="shared" si="240"/>
        <v>50000</v>
      </c>
      <c r="DJ62" s="202">
        <f t="shared" si="241"/>
        <v>0</v>
      </c>
      <c r="DK62" s="202">
        <f t="shared" si="242"/>
        <v>0</v>
      </c>
      <c r="DL62" s="202">
        <f t="shared" si="243"/>
        <v>0</v>
      </c>
      <c r="DM62" s="202">
        <f t="shared" si="244"/>
        <v>0</v>
      </c>
      <c r="DN62" s="202">
        <f t="shared" si="245"/>
        <v>50000</v>
      </c>
      <c r="DO62" s="203">
        <f t="shared" si="246"/>
        <v>0</v>
      </c>
      <c r="DP62" s="326" t="s">
        <v>327</v>
      </c>
      <c r="DQ62" s="200">
        <f t="shared" si="30"/>
        <v>0</v>
      </c>
      <c r="DR62" s="154">
        <f t="shared" si="100"/>
        <v>0</v>
      </c>
      <c r="DS62" s="154">
        <f t="shared" si="101"/>
        <v>0</v>
      </c>
      <c r="DT62" s="154">
        <f t="shared" si="102"/>
        <v>0</v>
      </c>
      <c r="DU62" s="154">
        <f t="shared" si="103"/>
        <v>0</v>
      </c>
      <c r="DV62" s="154">
        <f t="shared" si="104"/>
        <v>0</v>
      </c>
      <c r="DW62" s="154">
        <f t="shared" si="105"/>
        <v>0</v>
      </c>
      <c r="DX62" s="154">
        <f t="shared" si="106"/>
        <v>0</v>
      </c>
      <c r="DY62" s="154">
        <f t="shared" si="107"/>
        <v>0</v>
      </c>
      <c r="DZ62" s="154">
        <f t="shared" si="108"/>
        <v>0</v>
      </c>
      <c r="EA62" s="154">
        <f t="shared" si="40"/>
        <v>0</v>
      </c>
      <c r="EB62" s="154">
        <f t="shared" si="109"/>
        <v>100000</v>
      </c>
      <c r="EC62" s="326"/>
      <c r="ED62" s="201">
        <f t="shared" si="42"/>
        <v>0</v>
      </c>
      <c r="EE62" s="202">
        <f t="shared" si="128"/>
        <v>0</v>
      </c>
      <c r="EF62" s="202">
        <f t="shared" si="129"/>
        <v>0</v>
      </c>
      <c r="EG62" s="202">
        <f t="shared" si="130"/>
        <v>50000</v>
      </c>
      <c r="EH62" s="202">
        <f t="shared" si="131"/>
        <v>0</v>
      </c>
      <c r="EI62" s="202">
        <f t="shared" si="132"/>
        <v>0</v>
      </c>
      <c r="EJ62" s="202">
        <f t="shared" si="133"/>
        <v>0</v>
      </c>
      <c r="EK62" s="202">
        <f t="shared" si="134"/>
        <v>0</v>
      </c>
      <c r="EL62" s="202">
        <f t="shared" si="135"/>
        <v>50000</v>
      </c>
      <c r="EM62" s="203">
        <f t="shared" si="136"/>
        <v>0</v>
      </c>
      <c r="EN62" s="326" t="s">
        <v>327</v>
      </c>
      <c r="EO62" s="200">
        <f t="shared" si="43"/>
        <v>0</v>
      </c>
      <c r="EP62" s="154">
        <f t="shared" si="110"/>
        <v>0</v>
      </c>
      <c r="EQ62" s="154">
        <f t="shared" si="111"/>
        <v>0</v>
      </c>
      <c r="ER62" s="154">
        <f t="shared" si="112"/>
        <v>0</v>
      </c>
      <c r="ES62" s="154">
        <f t="shared" si="113"/>
        <v>0</v>
      </c>
      <c r="ET62" s="154">
        <f t="shared" si="114"/>
        <v>0</v>
      </c>
      <c r="EU62" s="154">
        <f t="shared" si="115"/>
        <v>0</v>
      </c>
      <c r="EV62" s="154">
        <f t="shared" si="116"/>
        <v>0</v>
      </c>
      <c r="EW62" s="154">
        <f t="shared" si="117"/>
        <v>0</v>
      </c>
      <c r="EX62" s="154">
        <f t="shared" si="118"/>
        <v>0</v>
      </c>
      <c r="EY62" s="154">
        <f t="shared" si="53"/>
        <v>0</v>
      </c>
      <c r="EZ62" s="154">
        <f t="shared" si="119"/>
        <v>0</v>
      </c>
      <c r="FA62" s="326"/>
      <c r="FB62" s="201">
        <f t="shared" si="55"/>
        <v>0</v>
      </c>
      <c r="FC62" s="202">
        <f t="shared" si="137"/>
        <v>0</v>
      </c>
      <c r="FD62" s="202">
        <f t="shared" si="138"/>
        <v>0</v>
      </c>
      <c r="FE62" s="202">
        <f t="shared" si="139"/>
        <v>0</v>
      </c>
      <c r="FF62" s="202">
        <f t="shared" si="140"/>
        <v>0</v>
      </c>
      <c r="FG62" s="202">
        <f t="shared" si="141"/>
        <v>0</v>
      </c>
      <c r="FH62" s="202">
        <f t="shared" si="142"/>
        <v>0</v>
      </c>
      <c r="FI62" s="202">
        <f t="shared" si="143"/>
        <v>0</v>
      </c>
      <c r="FJ62" s="202">
        <f t="shared" si="144"/>
        <v>0</v>
      </c>
      <c r="FK62" s="203">
        <f t="shared" si="145"/>
        <v>0</v>
      </c>
    </row>
    <row r="63" spans="1:167" s="6" customFormat="1">
      <c r="A63" s="223" t="s">
        <v>164</v>
      </c>
      <c r="B63" s="223" t="s">
        <v>167</v>
      </c>
      <c r="C63" s="224" t="s">
        <v>135</v>
      </c>
      <c r="D63" s="225">
        <f t="shared" si="56"/>
        <v>58</v>
      </c>
      <c r="E63" s="327" t="s">
        <v>327</v>
      </c>
      <c r="F63" s="232"/>
      <c r="G63" s="233"/>
      <c r="H63" s="233"/>
      <c r="I63" s="233"/>
      <c r="J63" s="233"/>
      <c r="K63" s="233"/>
      <c r="L63" s="484"/>
      <c r="M63" s="483"/>
      <c r="N63" s="327" t="s">
        <v>327</v>
      </c>
      <c r="O63" s="434"/>
      <c r="P63" s="239"/>
      <c r="Q63" s="239"/>
      <c r="R63" s="239"/>
      <c r="S63" s="226"/>
      <c r="T63" s="226"/>
      <c r="U63" s="227"/>
      <c r="V63" s="229"/>
      <c r="W63" s="326" t="s">
        <v>327</v>
      </c>
      <c r="X63" s="425">
        <v>0</v>
      </c>
      <c r="Y63" s="226">
        <v>0</v>
      </c>
      <c r="Z63" s="226">
        <v>0</v>
      </c>
      <c r="AA63" s="226">
        <v>0</v>
      </c>
      <c r="AB63" s="226">
        <v>300000</v>
      </c>
      <c r="AC63" s="226">
        <v>0</v>
      </c>
      <c r="AD63" s="226">
        <v>300000</v>
      </c>
      <c r="AE63" s="226" t="s">
        <v>926</v>
      </c>
      <c r="AF63" s="229" t="s">
        <v>327</v>
      </c>
      <c r="AG63" s="326" t="s">
        <v>327</v>
      </c>
      <c r="AH63" s="425"/>
      <c r="AI63" s="226"/>
      <c r="AJ63" s="226"/>
      <c r="AK63" s="226">
        <f t="shared" si="309"/>
        <v>300000</v>
      </c>
      <c r="AL63" s="226"/>
      <c r="AM63" s="226"/>
      <c r="AN63" s="226">
        <f t="shared" si="310"/>
        <v>300000</v>
      </c>
      <c r="AO63" s="226" t="str">
        <f t="shared" si="311"/>
        <v>PG&amp;E 2008</v>
      </c>
      <c r="AP63" s="229" t="str">
        <f t="shared" si="312"/>
        <v xml:space="preserve"> </v>
      </c>
      <c r="AQ63" s="326" t="s">
        <v>327</v>
      </c>
      <c r="AR63" s="440" t="s">
        <v>775</v>
      </c>
      <c r="AS63" s="514">
        <v>0</v>
      </c>
      <c r="AT63" s="227"/>
      <c r="AU63" s="229"/>
      <c r="AV63" s="326" t="s">
        <v>327</v>
      </c>
      <c r="AW63" s="447">
        <v>0.1</v>
      </c>
      <c r="AX63" s="228">
        <v>1</v>
      </c>
      <c r="AY63" s="238" t="s">
        <v>249</v>
      </c>
      <c r="AZ63" s="227"/>
      <c r="BA63" s="227">
        <v>12</v>
      </c>
      <c r="BB63" s="227">
        <v>12</v>
      </c>
      <c r="BC63" s="227" t="s">
        <v>326</v>
      </c>
      <c r="BD63" s="227"/>
      <c r="BE63" s="227"/>
      <c r="BF63" s="229"/>
      <c r="BG63" s="326" t="s">
        <v>327</v>
      </c>
      <c r="BH63" s="447">
        <v>1</v>
      </c>
      <c r="BI63" s="228">
        <v>1</v>
      </c>
      <c r="BJ63" s="227" t="s">
        <v>405</v>
      </c>
      <c r="BK63" s="227"/>
      <c r="BL63" s="227"/>
      <c r="BM63" s="227"/>
      <c r="BN63" s="484" t="s">
        <v>1239</v>
      </c>
      <c r="BO63" s="227"/>
      <c r="BP63" s="227">
        <v>10</v>
      </c>
      <c r="BQ63" s="227" t="s">
        <v>349</v>
      </c>
      <c r="BR63" s="326" t="s">
        <v>327</v>
      </c>
      <c r="BS63" s="455">
        <v>1</v>
      </c>
      <c r="BT63" s="230">
        <v>0</v>
      </c>
      <c r="BU63" s="230">
        <v>1</v>
      </c>
      <c r="BV63" s="230">
        <v>0</v>
      </c>
      <c r="BW63" s="230">
        <v>0</v>
      </c>
      <c r="BX63" s="230">
        <v>0</v>
      </c>
      <c r="BY63" s="230">
        <v>0</v>
      </c>
      <c r="BZ63" s="230">
        <v>0</v>
      </c>
      <c r="CA63" s="230">
        <v>0</v>
      </c>
      <c r="CB63" s="230">
        <v>0</v>
      </c>
      <c r="CC63" s="230">
        <v>0</v>
      </c>
      <c r="CD63" s="231">
        <v>0</v>
      </c>
      <c r="CE63" s="229" t="s">
        <v>249</v>
      </c>
      <c r="CF63" s="326" t="s">
        <v>327</v>
      </c>
      <c r="CG63" s="381">
        <v>0</v>
      </c>
      <c r="CH63" s="382">
        <v>0.4</v>
      </c>
      <c r="CI63" s="382">
        <v>0.4</v>
      </c>
      <c r="CJ63" s="382">
        <v>0.2</v>
      </c>
      <c r="CK63" s="382">
        <v>0</v>
      </c>
      <c r="CL63" s="382">
        <v>0</v>
      </c>
      <c r="CM63" s="382">
        <v>0</v>
      </c>
      <c r="CN63" s="382">
        <v>0</v>
      </c>
      <c r="CO63" s="382">
        <v>0</v>
      </c>
      <c r="CP63" s="387">
        <v>0</v>
      </c>
      <c r="CQ63" s="229" t="s">
        <v>249</v>
      </c>
      <c r="CR63" s="326" t="s">
        <v>327</v>
      </c>
      <c r="CS63" s="232">
        <f t="shared" si="225"/>
        <v>30000</v>
      </c>
      <c r="CT63" s="233">
        <f t="shared" si="226"/>
        <v>0</v>
      </c>
      <c r="CU63" s="233">
        <f t="shared" si="227"/>
        <v>30000</v>
      </c>
      <c r="CV63" s="233">
        <f t="shared" si="228"/>
        <v>0</v>
      </c>
      <c r="CW63" s="233">
        <f t="shared" si="229"/>
        <v>0</v>
      </c>
      <c r="CX63" s="233">
        <f t="shared" si="230"/>
        <v>0</v>
      </c>
      <c r="CY63" s="233">
        <f t="shared" si="231"/>
        <v>0</v>
      </c>
      <c r="CZ63" s="233">
        <f t="shared" si="232"/>
        <v>0</v>
      </c>
      <c r="DA63" s="233">
        <f t="shared" si="233"/>
        <v>0</v>
      </c>
      <c r="DB63" s="233">
        <f t="shared" si="234"/>
        <v>0</v>
      </c>
      <c r="DC63" s="233">
        <f t="shared" si="235"/>
        <v>0</v>
      </c>
      <c r="DD63" s="233">
        <f t="shared" si="236"/>
        <v>0</v>
      </c>
      <c r="DE63" s="326"/>
      <c r="DF63" s="234">
        <f t="shared" si="237"/>
        <v>0</v>
      </c>
      <c r="DG63" s="235">
        <f t="shared" si="238"/>
        <v>120000</v>
      </c>
      <c r="DH63" s="235">
        <f t="shared" si="239"/>
        <v>120000</v>
      </c>
      <c r="DI63" s="235">
        <f t="shared" si="240"/>
        <v>60000</v>
      </c>
      <c r="DJ63" s="235">
        <f t="shared" si="241"/>
        <v>0</v>
      </c>
      <c r="DK63" s="235">
        <f t="shared" si="242"/>
        <v>0</v>
      </c>
      <c r="DL63" s="235">
        <f t="shared" si="243"/>
        <v>0</v>
      </c>
      <c r="DM63" s="235">
        <f t="shared" si="244"/>
        <v>0</v>
      </c>
      <c r="DN63" s="235">
        <f t="shared" si="245"/>
        <v>0</v>
      </c>
      <c r="DO63" s="236">
        <f t="shared" si="246"/>
        <v>0</v>
      </c>
      <c r="DP63" s="326" t="s">
        <v>327</v>
      </c>
      <c r="DQ63" s="232">
        <f t="shared" si="30"/>
        <v>30000</v>
      </c>
      <c r="DR63" s="233">
        <f t="shared" si="100"/>
        <v>0</v>
      </c>
      <c r="DS63" s="233">
        <f t="shared" si="101"/>
        <v>30000</v>
      </c>
      <c r="DT63" s="233">
        <f t="shared" si="102"/>
        <v>0</v>
      </c>
      <c r="DU63" s="233">
        <f t="shared" si="103"/>
        <v>0</v>
      </c>
      <c r="DV63" s="233">
        <f t="shared" si="104"/>
        <v>0</v>
      </c>
      <c r="DW63" s="233">
        <f t="shared" si="105"/>
        <v>0</v>
      </c>
      <c r="DX63" s="233">
        <f t="shared" si="106"/>
        <v>0</v>
      </c>
      <c r="DY63" s="233">
        <f t="shared" si="107"/>
        <v>0</v>
      </c>
      <c r="DZ63" s="233">
        <f t="shared" si="108"/>
        <v>0</v>
      </c>
      <c r="EA63" s="233">
        <f t="shared" si="40"/>
        <v>0</v>
      </c>
      <c r="EB63" s="233">
        <f t="shared" si="109"/>
        <v>0</v>
      </c>
      <c r="EC63" s="326"/>
      <c r="ED63" s="234">
        <f t="shared" si="42"/>
        <v>0</v>
      </c>
      <c r="EE63" s="235">
        <f t="shared" si="128"/>
        <v>120000</v>
      </c>
      <c r="EF63" s="235">
        <f t="shared" si="129"/>
        <v>120000</v>
      </c>
      <c r="EG63" s="235">
        <f t="shared" si="130"/>
        <v>60000</v>
      </c>
      <c r="EH63" s="235">
        <f t="shared" si="131"/>
        <v>0</v>
      </c>
      <c r="EI63" s="235">
        <f t="shared" si="132"/>
        <v>0</v>
      </c>
      <c r="EJ63" s="235">
        <f t="shared" si="133"/>
        <v>0</v>
      </c>
      <c r="EK63" s="235">
        <f t="shared" si="134"/>
        <v>0</v>
      </c>
      <c r="EL63" s="235">
        <f t="shared" si="135"/>
        <v>0</v>
      </c>
      <c r="EM63" s="236">
        <f t="shared" si="136"/>
        <v>0</v>
      </c>
      <c r="EN63" s="326" t="s">
        <v>327</v>
      </c>
      <c r="EO63" s="232">
        <f t="shared" si="43"/>
        <v>0</v>
      </c>
      <c r="EP63" s="233">
        <f t="shared" si="110"/>
        <v>0</v>
      </c>
      <c r="EQ63" s="233">
        <f t="shared" si="111"/>
        <v>0</v>
      </c>
      <c r="ER63" s="233">
        <f t="shared" si="112"/>
        <v>0</v>
      </c>
      <c r="ES63" s="233">
        <f t="shared" si="113"/>
        <v>0</v>
      </c>
      <c r="ET63" s="233">
        <f t="shared" si="114"/>
        <v>0</v>
      </c>
      <c r="EU63" s="233">
        <f t="shared" si="115"/>
        <v>0</v>
      </c>
      <c r="EV63" s="233">
        <f t="shared" si="116"/>
        <v>0</v>
      </c>
      <c r="EW63" s="233">
        <f t="shared" si="117"/>
        <v>0</v>
      </c>
      <c r="EX63" s="233">
        <f t="shared" si="118"/>
        <v>0</v>
      </c>
      <c r="EY63" s="233">
        <f t="shared" si="53"/>
        <v>0</v>
      </c>
      <c r="EZ63" s="233">
        <f t="shared" si="119"/>
        <v>0</v>
      </c>
      <c r="FA63" s="326"/>
      <c r="FB63" s="234">
        <f t="shared" si="55"/>
        <v>0</v>
      </c>
      <c r="FC63" s="235">
        <f t="shared" si="137"/>
        <v>0</v>
      </c>
      <c r="FD63" s="235">
        <f t="shared" si="138"/>
        <v>0</v>
      </c>
      <c r="FE63" s="235">
        <f t="shared" si="139"/>
        <v>0</v>
      </c>
      <c r="FF63" s="235">
        <f t="shared" si="140"/>
        <v>0</v>
      </c>
      <c r="FG63" s="235">
        <f t="shared" si="141"/>
        <v>0</v>
      </c>
      <c r="FH63" s="235">
        <f t="shared" si="142"/>
        <v>0</v>
      </c>
      <c r="FI63" s="235">
        <f t="shared" si="143"/>
        <v>0</v>
      </c>
      <c r="FJ63" s="235">
        <f t="shared" si="144"/>
        <v>0</v>
      </c>
      <c r="FK63" s="236">
        <f t="shared" si="145"/>
        <v>0</v>
      </c>
    </row>
    <row r="64" spans="1:167" s="6" customFormat="1">
      <c r="A64" s="186" t="s">
        <v>91</v>
      </c>
      <c r="B64" s="186" t="s">
        <v>159</v>
      </c>
      <c r="C64" s="187" t="s">
        <v>812</v>
      </c>
      <c r="D64" s="188">
        <f t="shared" si="56"/>
        <v>59</v>
      </c>
      <c r="E64" s="327" t="s">
        <v>327</v>
      </c>
      <c r="F64" s="154"/>
      <c r="G64" s="154"/>
      <c r="H64" s="154"/>
      <c r="I64" s="154"/>
      <c r="J64" s="154"/>
      <c r="K64" s="154"/>
      <c r="L64" s="156"/>
      <c r="M64" s="478"/>
      <c r="N64" s="327" t="s">
        <v>327</v>
      </c>
      <c r="O64" s="191"/>
      <c r="P64" s="191"/>
      <c r="Q64" s="191"/>
      <c r="R64" s="191"/>
      <c r="S64" s="189"/>
      <c r="T64" s="189"/>
      <c r="U64" s="193"/>
      <c r="V64" s="193"/>
      <c r="W64" s="326" t="s">
        <v>327</v>
      </c>
      <c r="X64" s="189">
        <v>0</v>
      </c>
      <c r="Y64" s="189">
        <v>0</v>
      </c>
      <c r="Z64" s="189">
        <v>0</v>
      </c>
      <c r="AA64" s="189">
        <v>0</v>
      </c>
      <c r="AB64" s="189">
        <v>150000.1</v>
      </c>
      <c r="AC64" s="189">
        <v>0</v>
      </c>
      <c r="AD64" s="189">
        <v>150000.1</v>
      </c>
      <c r="AE64" s="189" t="s">
        <v>843</v>
      </c>
      <c r="AF64" s="255" t="s">
        <v>907</v>
      </c>
      <c r="AG64" s="326" t="s">
        <v>327</v>
      </c>
      <c r="AH64" s="189"/>
      <c r="AI64" s="189"/>
      <c r="AJ64" s="189"/>
      <c r="AK64" s="189">
        <f t="shared" ref="AK64:AK65" si="313">AD64</f>
        <v>150000.1</v>
      </c>
      <c r="AL64" s="189"/>
      <c r="AM64" s="189"/>
      <c r="AN64" s="189">
        <f t="shared" ref="AN64:AN65" si="314">AK64</f>
        <v>150000.1</v>
      </c>
      <c r="AO64" s="189" t="str">
        <f t="shared" ref="AO64:AO65" si="315">AE64</f>
        <v>DOE estimate</v>
      </c>
      <c r="AP64" s="255" t="str">
        <f t="shared" ref="AP64:AP65" si="316">AF64</f>
        <v>Unverified</v>
      </c>
      <c r="AQ64" s="326" t="s">
        <v>327</v>
      </c>
      <c r="AR64" s="194" t="s">
        <v>775</v>
      </c>
      <c r="AS64" s="511">
        <v>0</v>
      </c>
      <c r="AT64" s="193"/>
      <c r="AU64" s="193"/>
      <c r="AV64" s="326" t="s">
        <v>327</v>
      </c>
      <c r="AW64" s="195">
        <v>0.05</v>
      </c>
      <c r="AX64" s="196">
        <v>1</v>
      </c>
      <c r="AY64" s="481" t="s">
        <v>249</v>
      </c>
      <c r="AZ64" s="193" t="s">
        <v>950</v>
      </c>
      <c r="BA64" s="193">
        <v>26</v>
      </c>
      <c r="BB64" s="193">
        <v>13</v>
      </c>
      <c r="BC64" s="193" t="s">
        <v>312</v>
      </c>
      <c r="BD64" s="193"/>
      <c r="BE64" s="193"/>
      <c r="BF64" s="197"/>
      <c r="BG64" s="326" t="s">
        <v>327</v>
      </c>
      <c r="BH64" s="195">
        <v>0.61</v>
      </c>
      <c r="BI64" s="196">
        <v>1</v>
      </c>
      <c r="BJ64" s="193" t="s">
        <v>251</v>
      </c>
      <c r="BK64" s="193" t="s">
        <v>252</v>
      </c>
      <c r="BL64" s="193">
        <v>18</v>
      </c>
      <c r="BM64" s="193">
        <v>27</v>
      </c>
      <c r="BN64" s="193" t="s">
        <v>294</v>
      </c>
      <c r="BO64" s="193"/>
      <c r="BP64" s="193"/>
      <c r="BQ64" s="193"/>
      <c r="BR64" s="326" t="s">
        <v>327</v>
      </c>
      <c r="BS64" s="198">
        <v>0</v>
      </c>
      <c r="BT64" s="198">
        <v>0</v>
      </c>
      <c r="BU64" s="198">
        <v>0</v>
      </c>
      <c r="BV64" s="198">
        <v>0</v>
      </c>
      <c r="BW64" s="198">
        <v>0</v>
      </c>
      <c r="BX64" s="198">
        <v>0</v>
      </c>
      <c r="BY64" s="198">
        <v>0</v>
      </c>
      <c r="BZ64" s="198">
        <v>0</v>
      </c>
      <c r="CA64" s="198">
        <v>0</v>
      </c>
      <c r="CB64" s="198">
        <v>0</v>
      </c>
      <c r="CC64" s="198">
        <v>0</v>
      </c>
      <c r="CD64" s="199">
        <v>1</v>
      </c>
      <c r="CE64" s="193" t="s">
        <v>443</v>
      </c>
      <c r="CF64" s="326" t="s">
        <v>327</v>
      </c>
      <c r="CG64" s="379">
        <v>0</v>
      </c>
      <c r="CH64" s="380">
        <v>0</v>
      </c>
      <c r="CI64" s="380">
        <v>0</v>
      </c>
      <c r="CJ64" s="380">
        <v>1</v>
      </c>
      <c r="CK64" s="380">
        <v>0</v>
      </c>
      <c r="CL64" s="380">
        <v>0</v>
      </c>
      <c r="CM64" s="380">
        <v>0</v>
      </c>
      <c r="CN64" s="380">
        <v>0</v>
      </c>
      <c r="CO64" s="380">
        <v>0</v>
      </c>
      <c r="CP64" s="386">
        <v>0</v>
      </c>
      <c r="CQ64" s="193" t="s">
        <v>443</v>
      </c>
      <c r="CR64" s="326" t="s">
        <v>327</v>
      </c>
      <c r="CS64" s="200">
        <f t="shared" si="225"/>
        <v>0</v>
      </c>
      <c r="CT64" s="154">
        <f t="shared" si="226"/>
        <v>0</v>
      </c>
      <c r="CU64" s="154">
        <f t="shared" si="227"/>
        <v>0</v>
      </c>
      <c r="CV64" s="154">
        <f t="shared" si="228"/>
        <v>0</v>
      </c>
      <c r="CW64" s="154">
        <f t="shared" si="229"/>
        <v>0</v>
      </c>
      <c r="CX64" s="154">
        <f t="shared" si="230"/>
        <v>0</v>
      </c>
      <c r="CY64" s="154">
        <f t="shared" si="231"/>
        <v>0</v>
      </c>
      <c r="CZ64" s="154">
        <f t="shared" si="232"/>
        <v>0</v>
      </c>
      <c r="DA64" s="154">
        <f t="shared" si="233"/>
        <v>0</v>
      </c>
      <c r="DB64" s="154">
        <f t="shared" si="234"/>
        <v>0</v>
      </c>
      <c r="DC64" s="154">
        <f t="shared" si="235"/>
        <v>0</v>
      </c>
      <c r="DD64" s="154">
        <f t="shared" si="236"/>
        <v>7500.005000000001</v>
      </c>
      <c r="DE64" s="326"/>
      <c r="DF64" s="201">
        <f t="shared" si="237"/>
        <v>0</v>
      </c>
      <c r="DG64" s="202">
        <f t="shared" si="238"/>
        <v>0</v>
      </c>
      <c r="DH64" s="202">
        <f t="shared" si="239"/>
        <v>0</v>
      </c>
      <c r="DI64" s="202">
        <f t="shared" si="240"/>
        <v>91500.061000000002</v>
      </c>
      <c r="DJ64" s="202">
        <f t="shared" si="241"/>
        <v>0</v>
      </c>
      <c r="DK64" s="202">
        <f t="shared" si="242"/>
        <v>0</v>
      </c>
      <c r="DL64" s="202">
        <f t="shared" si="243"/>
        <v>0</v>
      </c>
      <c r="DM64" s="202">
        <f t="shared" si="244"/>
        <v>0</v>
      </c>
      <c r="DN64" s="202">
        <f t="shared" si="245"/>
        <v>0</v>
      </c>
      <c r="DO64" s="203">
        <f t="shared" si="246"/>
        <v>0</v>
      </c>
      <c r="DP64" s="326" t="s">
        <v>327</v>
      </c>
      <c r="DQ64" s="200">
        <f t="shared" si="30"/>
        <v>0</v>
      </c>
      <c r="DR64" s="154">
        <f t="shared" si="100"/>
        <v>0</v>
      </c>
      <c r="DS64" s="154">
        <f t="shared" si="101"/>
        <v>0</v>
      </c>
      <c r="DT64" s="154">
        <f t="shared" si="102"/>
        <v>0</v>
      </c>
      <c r="DU64" s="154">
        <f t="shared" si="103"/>
        <v>0</v>
      </c>
      <c r="DV64" s="154">
        <f t="shared" si="104"/>
        <v>0</v>
      </c>
      <c r="DW64" s="154">
        <f t="shared" si="105"/>
        <v>0</v>
      </c>
      <c r="DX64" s="154">
        <f t="shared" si="106"/>
        <v>0</v>
      </c>
      <c r="DY64" s="154">
        <f t="shared" si="107"/>
        <v>0</v>
      </c>
      <c r="DZ64" s="154">
        <f t="shared" si="108"/>
        <v>0</v>
      </c>
      <c r="EA64" s="154">
        <f t="shared" si="40"/>
        <v>0</v>
      </c>
      <c r="EB64" s="154">
        <f t="shared" si="109"/>
        <v>7500.005000000001</v>
      </c>
      <c r="EC64" s="326"/>
      <c r="ED64" s="201">
        <f t="shared" si="42"/>
        <v>0</v>
      </c>
      <c r="EE64" s="202">
        <f t="shared" si="128"/>
        <v>0</v>
      </c>
      <c r="EF64" s="202">
        <f t="shared" si="129"/>
        <v>0</v>
      </c>
      <c r="EG64" s="202">
        <f t="shared" si="130"/>
        <v>91500.061000000002</v>
      </c>
      <c r="EH64" s="202">
        <f t="shared" si="131"/>
        <v>0</v>
      </c>
      <c r="EI64" s="202">
        <f t="shared" si="132"/>
        <v>0</v>
      </c>
      <c r="EJ64" s="202">
        <f t="shared" si="133"/>
        <v>0</v>
      </c>
      <c r="EK64" s="202">
        <f t="shared" si="134"/>
        <v>0</v>
      </c>
      <c r="EL64" s="202">
        <f t="shared" si="135"/>
        <v>0</v>
      </c>
      <c r="EM64" s="203">
        <f t="shared" si="136"/>
        <v>0</v>
      </c>
      <c r="EN64" s="326" t="s">
        <v>327</v>
      </c>
      <c r="EO64" s="200">
        <f t="shared" si="43"/>
        <v>0</v>
      </c>
      <c r="EP64" s="154">
        <f t="shared" si="110"/>
        <v>0</v>
      </c>
      <c r="EQ64" s="154">
        <f t="shared" si="111"/>
        <v>0</v>
      </c>
      <c r="ER64" s="154">
        <f t="shared" si="112"/>
        <v>0</v>
      </c>
      <c r="ES64" s="154">
        <f t="shared" si="113"/>
        <v>0</v>
      </c>
      <c r="ET64" s="154">
        <f t="shared" si="114"/>
        <v>0</v>
      </c>
      <c r="EU64" s="154">
        <f t="shared" si="115"/>
        <v>0</v>
      </c>
      <c r="EV64" s="154">
        <f t="shared" si="116"/>
        <v>0</v>
      </c>
      <c r="EW64" s="154">
        <f t="shared" si="117"/>
        <v>0</v>
      </c>
      <c r="EX64" s="154">
        <f t="shared" si="118"/>
        <v>0</v>
      </c>
      <c r="EY64" s="154">
        <f t="shared" si="53"/>
        <v>0</v>
      </c>
      <c r="EZ64" s="154">
        <f t="shared" si="119"/>
        <v>0</v>
      </c>
      <c r="FA64" s="326"/>
      <c r="FB64" s="201">
        <f t="shared" si="55"/>
        <v>0</v>
      </c>
      <c r="FC64" s="202">
        <f t="shared" si="137"/>
        <v>0</v>
      </c>
      <c r="FD64" s="202">
        <f t="shared" si="138"/>
        <v>0</v>
      </c>
      <c r="FE64" s="202">
        <f t="shared" si="139"/>
        <v>0</v>
      </c>
      <c r="FF64" s="202">
        <f t="shared" si="140"/>
        <v>0</v>
      </c>
      <c r="FG64" s="202">
        <f t="shared" si="141"/>
        <v>0</v>
      </c>
      <c r="FH64" s="202">
        <f t="shared" si="142"/>
        <v>0</v>
      </c>
      <c r="FI64" s="202">
        <f t="shared" si="143"/>
        <v>0</v>
      </c>
      <c r="FJ64" s="202">
        <f t="shared" si="144"/>
        <v>0</v>
      </c>
      <c r="FK64" s="203">
        <f t="shared" si="145"/>
        <v>0</v>
      </c>
    </row>
    <row r="65" spans="1:167" s="6" customFormat="1">
      <c r="A65" s="223" t="s">
        <v>91</v>
      </c>
      <c r="B65" s="223" t="s">
        <v>159</v>
      </c>
      <c r="C65" s="224" t="s">
        <v>232</v>
      </c>
      <c r="D65" s="225">
        <f t="shared" si="56"/>
        <v>60</v>
      </c>
      <c r="E65" s="327" t="s">
        <v>327</v>
      </c>
      <c r="F65" s="232"/>
      <c r="G65" s="233"/>
      <c r="H65" s="233"/>
      <c r="I65" s="233"/>
      <c r="J65" s="233"/>
      <c r="K65" s="233"/>
      <c r="L65" s="484"/>
      <c r="M65" s="483"/>
      <c r="N65" s="327" t="s">
        <v>327</v>
      </c>
      <c r="O65" s="434"/>
      <c r="P65" s="239"/>
      <c r="Q65" s="239"/>
      <c r="R65" s="239"/>
      <c r="S65" s="226"/>
      <c r="T65" s="226"/>
      <c r="U65" s="227"/>
      <c r="V65" s="229"/>
      <c r="W65" s="326" t="s">
        <v>327</v>
      </c>
      <c r="X65" s="425">
        <v>0</v>
      </c>
      <c r="Y65" s="226">
        <v>0</v>
      </c>
      <c r="Z65" s="226">
        <v>0</v>
      </c>
      <c r="AA65" s="226">
        <v>0</v>
      </c>
      <c r="AB65" s="226">
        <v>300000</v>
      </c>
      <c r="AC65" s="226">
        <v>0</v>
      </c>
      <c r="AD65" s="226">
        <v>300000</v>
      </c>
      <c r="AE65" s="226" t="s">
        <v>931</v>
      </c>
      <c r="AF65" s="229" t="s">
        <v>327</v>
      </c>
      <c r="AG65" s="326" t="s">
        <v>327</v>
      </c>
      <c r="AH65" s="425"/>
      <c r="AI65" s="226"/>
      <c r="AJ65" s="226"/>
      <c r="AK65" s="226">
        <f t="shared" si="313"/>
        <v>300000</v>
      </c>
      <c r="AL65" s="226"/>
      <c r="AM65" s="226"/>
      <c r="AN65" s="226">
        <f t="shared" si="314"/>
        <v>300000</v>
      </c>
      <c r="AO65" s="226" t="str">
        <f t="shared" si="315"/>
        <v>Appliance Magazine 2009c</v>
      </c>
      <c r="AP65" s="229" t="str">
        <f t="shared" si="316"/>
        <v xml:space="preserve"> </v>
      </c>
      <c r="AQ65" s="326" t="s">
        <v>327</v>
      </c>
      <c r="AR65" s="440" t="s">
        <v>775</v>
      </c>
      <c r="AS65" s="514">
        <v>0</v>
      </c>
      <c r="AT65" s="227"/>
      <c r="AU65" s="229"/>
      <c r="AV65" s="326" t="s">
        <v>327</v>
      </c>
      <c r="AW65" s="447">
        <v>0.05</v>
      </c>
      <c r="AX65" s="228">
        <v>1</v>
      </c>
      <c r="AY65" s="484" t="s">
        <v>249</v>
      </c>
      <c r="AZ65" s="227" t="s">
        <v>950</v>
      </c>
      <c r="BA65" s="227"/>
      <c r="BB65" s="227"/>
      <c r="BC65" s="227" t="s">
        <v>283</v>
      </c>
      <c r="BD65" s="227"/>
      <c r="BE65" s="227"/>
      <c r="BF65" s="229"/>
      <c r="BG65" s="326" t="s">
        <v>327</v>
      </c>
      <c r="BH65" s="447">
        <f>17/28</f>
        <v>0.6071428571428571</v>
      </c>
      <c r="BI65" s="228">
        <v>1</v>
      </c>
      <c r="BJ65" s="227" t="s">
        <v>219</v>
      </c>
      <c r="BK65" s="227"/>
      <c r="BL65" s="227">
        <v>24</v>
      </c>
      <c r="BM65" s="227">
        <v>408</v>
      </c>
      <c r="BN65" s="227" t="s">
        <v>294</v>
      </c>
      <c r="BO65" s="227"/>
      <c r="BP65" s="227"/>
      <c r="BQ65" s="229"/>
      <c r="BR65" s="326" t="s">
        <v>327</v>
      </c>
      <c r="BS65" s="455">
        <v>0</v>
      </c>
      <c r="BT65" s="230">
        <v>0</v>
      </c>
      <c r="BU65" s="230">
        <v>0</v>
      </c>
      <c r="BV65" s="230">
        <v>0</v>
      </c>
      <c r="BW65" s="230">
        <v>0</v>
      </c>
      <c r="BX65" s="230">
        <v>0</v>
      </c>
      <c r="BY65" s="230">
        <v>0</v>
      </c>
      <c r="BZ65" s="230">
        <v>0</v>
      </c>
      <c r="CA65" s="230">
        <v>0</v>
      </c>
      <c r="CB65" s="230">
        <v>0</v>
      </c>
      <c r="CC65" s="230">
        <v>0</v>
      </c>
      <c r="CD65" s="231">
        <v>1</v>
      </c>
      <c r="CE65" s="229" t="s">
        <v>272</v>
      </c>
      <c r="CF65" s="326" t="s">
        <v>327</v>
      </c>
      <c r="CG65" s="381">
        <v>0</v>
      </c>
      <c r="CH65" s="382">
        <v>0</v>
      </c>
      <c r="CI65" s="382">
        <v>0</v>
      </c>
      <c r="CJ65" s="382">
        <v>0</v>
      </c>
      <c r="CK65" s="382">
        <v>0</v>
      </c>
      <c r="CL65" s="382">
        <v>1</v>
      </c>
      <c r="CM65" s="382">
        <v>0</v>
      </c>
      <c r="CN65" s="382">
        <v>0</v>
      </c>
      <c r="CO65" s="382">
        <v>0</v>
      </c>
      <c r="CP65" s="387">
        <v>0</v>
      </c>
      <c r="CQ65" s="229" t="s">
        <v>272</v>
      </c>
      <c r="CR65" s="326" t="s">
        <v>327</v>
      </c>
      <c r="CS65" s="232">
        <f t="shared" si="225"/>
        <v>0</v>
      </c>
      <c r="CT65" s="233">
        <f t="shared" si="226"/>
        <v>0</v>
      </c>
      <c r="CU65" s="233">
        <f t="shared" si="227"/>
        <v>0</v>
      </c>
      <c r="CV65" s="233">
        <f t="shared" si="228"/>
        <v>0</v>
      </c>
      <c r="CW65" s="233">
        <f t="shared" si="229"/>
        <v>0</v>
      </c>
      <c r="CX65" s="233">
        <f t="shared" si="230"/>
        <v>0</v>
      </c>
      <c r="CY65" s="233">
        <f t="shared" si="231"/>
        <v>0</v>
      </c>
      <c r="CZ65" s="233">
        <f t="shared" si="232"/>
        <v>0</v>
      </c>
      <c r="DA65" s="233">
        <f t="shared" si="233"/>
        <v>0</v>
      </c>
      <c r="DB65" s="233">
        <f t="shared" si="234"/>
        <v>0</v>
      </c>
      <c r="DC65" s="233">
        <f t="shared" si="235"/>
        <v>0</v>
      </c>
      <c r="DD65" s="233">
        <f t="shared" si="236"/>
        <v>15000</v>
      </c>
      <c r="DE65" s="326"/>
      <c r="DF65" s="234">
        <f t="shared" si="237"/>
        <v>0</v>
      </c>
      <c r="DG65" s="235">
        <f t="shared" si="238"/>
        <v>0</v>
      </c>
      <c r="DH65" s="235">
        <f t="shared" si="239"/>
        <v>0</v>
      </c>
      <c r="DI65" s="235">
        <f t="shared" si="240"/>
        <v>0</v>
      </c>
      <c r="DJ65" s="235">
        <f t="shared" si="241"/>
        <v>0</v>
      </c>
      <c r="DK65" s="235">
        <f t="shared" si="242"/>
        <v>182142.85714285713</v>
      </c>
      <c r="DL65" s="235">
        <f t="shared" si="243"/>
        <v>0</v>
      </c>
      <c r="DM65" s="235">
        <f t="shared" si="244"/>
        <v>0</v>
      </c>
      <c r="DN65" s="235">
        <f t="shared" si="245"/>
        <v>0</v>
      </c>
      <c r="DO65" s="236">
        <f t="shared" si="246"/>
        <v>0</v>
      </c>
      <c r="DP65" s="326" t="s">
        <v>327</v>
      </c>
      <c r="DQ65" s="232">
        <f t="shared" si="30"/>
        <v>0</v>
      </c>
      <c r="DR65" s="233">
        <f t="shared" si="100"/>
        <v>0</v>
      </c>
      <c r="DS65" s="233">
        <f t="shared" si="101"/>
        <v>0</v>
      </c>
      <c r="DT65" s="233">
        <f t="shared" si="102"/>
        <v>0</v>
      </c>
      <c r="DU65" s="233">
        <f t="shared" si="103"/>
        <v>0</v>
      </c>
      <c r="DV65" s="233">
        <f t="shared" si="104"/>
        <v>0</v>
      </c>
      <c r="DW65" s="233">
        <f t="shared" si="105"/>
        <v>0</v>
      </c>
      <c r="DX65" s="233">
        <f t="shared" si="106"/>
        <v>0</v>
      </c>
      <c r="DY65" s="233">
        <f t="shared" si="107"/>
        <v>0</v>
      </c>
      <c r="DZ65" s="233">
        <f t="shared" si="108"/>
        <v>0</v>
      </c>
      <c r="EA65" s="233">
        <f t="shared" si="40"/>
        <v>0</v>
      </c>
      <c r="EB65" s="233">
        <f t="shared" si="109"/>
        <v>15000</v>
      </c>
      <c r="EC65" s="326"/>
      <c r="ED65" s="234">
        <f t="shared" si="42"/>
        <v>0</v>
      </c>
      <c r="EE65" s="235">
        <f t="shared" si="128"/>
        <v>0</v>
      </c>
      <c r="EF65" s="235">
        <f t="shared" si="129"/>
        <v>0</v>
      </c>
      <c r="EG65" s="235">
        <f t="shared" si="130"/>
        <v>0</v>
      </c>
      <c r="EH65" s="235">
        <f t="shared" si="131"/>
        <v>0</v>
      </c>
      <c r="EI65" s="235">
        <f t="shared" si="132"/>
        <v>182142.85714285713</v>
      </c>
      <c r="EJ65" s="235">
        <f t="shared" si="133"/>
        <v>0</v>
      </c>
      <c r="EK65" s="235">
        <f t="shared" si="134"/>
        <v>0</v>
      </c>
      <c r="EL65" s="235">
        <f t="shared" si="135"/>
        <v>0</v>
      </c>
      <c r="EM65" s="236">
        <f t="shared" si="136"/>
        <v>0</v>
      </c>
      <c r="EN65" s="326" t="s">
        <v>327</v>
      </c>
      <c r="EO65" s="232">
        <f t="shared" si="43"/>
        <v>0</v>
      </c>
      <c r="EP65" s="233">
        <f t="shared" si="110"/>
        <v>0</v>
      </c>
      <c r="EQ65" s="233">
        <f t="shared" si="111"/>
        <v>0</v>
      </c>
      <c r="ER65" s="233">
        <f t="shared" si="112"/>
        <v>0</v>
      </c>
      <c r="ES65" s="233">
        <f t="shared" si="113"/>
        <v>0</v>
      </c>
      <c r="ET65" s="233">
        <f t="shared" si="114"/>
        <v>0</v>
      </c>
      <c r="EU65" s="233">
        <f t="shared" si="115"/>
        <v>0</v>
      </c>
      <c r="EV65" s="233">
        <f t="shared" si="116"/>
        <v>0</v>
      </c>
      <c r="EW65" s="233">
        <f t="shared" si="117"/>
        <v>0</v>
      </c>
      <c r="EX65" s="233">
        <f t="shared" si="118"/>
        <v>0</v>
      </c>
      <c r="EY65" s="233">
        <f t="shared" si="53"/>
        <v>0</v>
      </c>
      <c r="EZ65" s="233">
        <f t="shared" si="119"/>
        <v>0</v>
      </c>
      <c r="FA65" s="326"/>
      <c r="FB65" s="234">
        <f t="shared" si="55"/>
        <v>0</v>
      </c>
      <c r="FC65" s="235">
        <f t="shared" si="137"/>
        <v>0</v>
      </c>
      <c r="FD65" s="235">
        <f t="shared" si="138"/>
        <v>0</v>
      </c>
      <c r="FE65" s="235">
        <f t="shared" si="139"/>
        <v>0</v>
      </c>
      <c r="FF65" s="235">
        <f t="shared" si="140"/>
        <v>0</v>
      </c>
      <c r="FG65" s="235">
        <f t="shared" si="141"/>
        <v>0</v>
      </c>
      <c r="FH65" s="235">
        <f t="shared" si="142"/>
        <v>0</v>
      </c>
      <c r="FI65" s="235">
        <f t="shared" si="143"/>
        <v>0</v>
      </c>
      <c r="FJ65" s="235">
        <f t="shared" si="144"/>
        <v>0</v>
      </c>
      <c r="FK65" s="236">
        <f t="shared" si="145"/>
        <v>0</v>
      </c>
    </row>
    <row r="66" spans="1:167" s="6" customFormat="1">
      <c r="A66" s="186" t="s">
        <v>92</v>
      </c>
      <c r="B66" s="186" t="s">
        <v>190</v>
      </c>
      <c r="C66" s="187" t="s">
        <v>138</v>
      </c>
      <c r="D66" s="188">
        <f t="shared" si="56"/>
        <v>61</v>
      </c>
      <c r="E66" s="327" t="s">
        <v>327</v>
      </c>
      <c r="F66" s="154"/>
      <c r="G66" s="154"/>
      <c r="H66" s="154"/>
      <c r="I66" s="154">
        <v>15000000</v>
      </c>
      <c r="J66" s="154"/>
      <c r="K66" s="154"/>
      <c r="L66" s="156" t="s">
        <v>932</v>
      </c>
      <c r="M66" s="478" t="s">
        <v>839</v>
      </c>
      <c r="N66" s="327" t="s">
        <v>327</v>
      </c>
      <c r="O66" s="191"/>
      <c r="P66" s="191"/>
      <c r="Q66" s="191"/>
      <c r="R66" s="191"/>
      <c r="S66" s="189"/>
      <c r="T66" s="189"/>
      <c r="U66" s="193"/>
      <c r="V66" s="193"/>
      <c r="W66" s="326" t="s">
        <v>327</v>
      </c>
      <c r="X66" s="189">
        <v>0</v>
      </c>
      <c r="Y66" s="189">
        <v>0</v>
      </c>
      <c r="Z66" s="189">
        <v>0</v>
      </c>
      <c r="AA66" s="189">
        <v>0</v>
      </c>
      <c r="AB66" s="189">
        <v>30423000</v>
      </c>
      <c r="AC66" s="189">
        <v>0</v>
      </c>
      <c r="AD66" s="189">
        <v>30423000</v>
      </c>
      <c r="AE66" s="189" t="s">
        <v>392</v>
      </c>
      <c r="AF66" s="255" t="s">
        <v>253</v>
      </c>
      <c r="AG66" s="326" t="s">
        <v>327</v>
      </c>
      <c r="AH66" s="189"/>
      <c r="AI66" s="189"/>
      <c r="AJ66" s="189"/>
      <c r="AK66" s="189">
        <f>I66</f>
        <v>15000000</v>
      </c>
      <c r="AL66" s="189"/>
      <c r="AM66" s="189"/>
      <c r="AN66" s="189">
        <f t="shared" ref="AN66:AN82" si="317">AK66</f>
        <v>15000000</v>
      </c>
      <c r="AO66" s="189" t="str">
        <f>L66</f>
        <v>Philips 2010</v>
      </c>
      <c r="AP66" s="255" t="str">
        <f>M66</f>
        <v>Philips recommended using a baseline of 15 million for products in BC product class 1</v>
      </c>
      <c r="AQ66" s="326" t="s">
        <v>327</v>
      </c>
      <c r="AR66" s="194" t="s">
        <v>775</v>
      </c>
      <c r="AS66" s="511">
        <v>0</v>
      </c>
      <c r="AT66" s="193"/>
      <c r="AU66" s="193"/>
      <c r="AV66" s="326"/>
      <c r="AW66" s="195">
        <v>1</v>
      </c>
      <c r="AX66" s="196">
        <v>1</v>
      </c>
      <c r="AY66" s="192" t="s">
        <v>249</v>
      </c>
      <c r="AZ66" s="193"/>
      <c r="BA66" s="193">
        <v>2.6</v>
      </c>
      <c r="BB66" s="193">
        <v>2.6</v>
      </c>
      <c r="BC66" s="193" t="s">
        <v>249</v>
      </c>
      <c r="BD66" s="193"/>
      <c r="BE66" s="193"/>
      <c r="BF66" s="197"/>
      <c r="BG66" s="326" t="s">
        <v>327</v>
      </c>
      <c r="BH66" s="195">
        <v>1</v>
      </c>
      <c r="BI66" s="196">
        <v>1</v>
      </c>
      <c r="BJ66" s="193" t="s">
        <v>840</v>
      </c>
      <c r="BK66" s="193" t="s">
        <v>841</v>
      </c>
      <c r="BL66" s="193">
        <v>1.2</v>
      </c>
      <c r="BM66" s="193">
        <v>0.8</v>
      </c>
      <c r="BN66" s="193" t="s">
        <v>313</v>
      </c>
      <c r="BO66" s="193"/>
      <c r="BP66" s="193"/>
      <c r="BQ66" s="193"/>
      <c r="BR66" s="326" t="s">
        <v>327</v>
      </c>
      <c r="BS66" s="198">
        <v>0</v>
      </c>
      <c r="BT66" s="198">
        <v>0</v>
      </c>
      <c r="BU66" s="198">
        <v>0</v>
      </c>
      <c r="BV66" s="198">
        <v>0</v>
      </c>
      <c r="BW66" s="198">
        <v>0</v>
      </c>
      <c r="BX66" s="198">
        <v>0</v>
      </c>
      <c r="BY66" s="198">
        <v>0</v>
      </c>
      <c r="BZ66" s="198">
        <v>0</v>
      </c>
      <c r="CA66" s="198">
        <v>0</v>
      </c>
      <c r="CB66" s="198">
        <v>0</v>
      </c>
      <c r="CC66" s="198">
        <v>0</v>
      </c>
      <c r="CD66" s="199">
        <v>1</v>
      </c>
      <c r="CE66" s="193" t="s">
        <v>444</v>
      </c>
      <c r="CF66" s="326" t="s">
        <v>327</v>
      </c>
      <c r="CG66" s="379">
        <v>1</v>
      </c>
      <c r="CH66" s="380">
        <v>0</v>
      </c>
      <c r="CI66" s="380">
        <v>0</v>
      </c>
      <c r="CJ66" s="380">
        <v>0</v>
      </c>
      <c r="CK66" s="380">
        <v>0</v>
      </c>
      <c r="CL66" s="380">
        <v>0</v>
      </c>
      <c r="CM66" s="380">
        <v>0</v>
      </c>
      <c r="CN66" s="380">
        <v>0</v>
      </c>
      <c r="CO66" s="380">
        <v>0</v>
      </c>
      <c r="CP66" s="386">
        <v>0</v>
      </c>
      <c r="CQ66" s="193" t="s">
        <v>444</v>
      </c>
      <c r="CR66" s="326" t="s">
        <v>327</v>
      </c>
      <c r="CS66" s="200">
        <f t="shared" si="225"/>
        <v>0</v>
      </c>
      <c r="CT66" s="154">
        <f t="shared" si="226"/>
        <v>0</v>
      </c>
      <c r="CU66" s="154">
        <f t="shared" si="227"/>
        <v>0</v>
      </c>
      <c r="CV66" s="154">
        <f t="shared" si="228"/>
        <v>0</v>
      </c>
      <c r="CW66" s="154">
        <f t="shared" si="229"/>
        <v>0</v>
      </c>
      <c r="CX66" s="154">
        <f t="shared" si="230"/>
        <v>0</v>
      </c>
      <c r="CY66" s="154">
        <f t="shared" si="231"/>
        <v>0</v>
      </c>
      <c r="CZ66" s="154">
        <f t="shared" si="232"/>
        <v>0</v>
      </c>
      <c r="DA66" s="154">
        <f t="shared" si="233"/>
        <v>0</v>
      </c>
      <c r="DB66" s="154">
        <f t="shared" si="234"/>
        <v>0</v>
      </c>
      <c r="DC66" s="154">
        <f t="shared" si="235"/>
        <v>0</v>
      </c>
      <c r="DD66" s="154">
        <f t="shared" si="236"/>
        <v>15000000</v>
      </c>
      <c r="DE66" s="326"/>
      <c r="DF66" s="201">
        <f t="shared" si="237"/>
        <v>15000000</v>
      </c>
      <c r="DG66" s="202">
        <f t="shared" si="238"/>
        <v>0</v>
      </c>
      <c r="DH66" s="202">
        <f t="shared" si="239"/>
        <v>0</v>
      </c>
      <c r="DI66" s="202">
        <f t="shared" si="240"/>
        <v>0</v>
      </c>
      <c r="DJ66" s="202">
        <f t="shared" si="241"/>
        <v>0</v>
      </c>
      <c r="DK66" s="202">
        <f t="shared" si="242"/>
        <v>0</v>
      </c>
      <c r="DL66" s="202">
        <f t="shared" si="243"/>
        <v>0</v>
      </c>
      <c r="DM66" s="202">
        <f t="shared" si="244"/>
        <v>0</v>
      </c>
      <c r="DN66" s="202">
        <f t="shared" si="245"/>
        <v>0</v>
      </c>
      <c r="DO66" s="203">
        <f t="shared" si="246"/>
        <v>0</v>
      </c>
      <c r="DP66" s="326" t="s">
        <v>327</v>
      </c>
      <c r="DQ66" s="200">
        <f t="shared" si="30"/>
        <v>0</v>
      </c>
      <c r="DR66" s="154">
        <f t="shared" si="100"/>
        <v>0</v>
      </c>
      <c r="DS66" s="154">
        <f t="shared" si="101"/>
        <v>0</v>
      </c>
      <c r="DT66" s="154">
        <f t="shared" si="102"/>
        <v>0</v>
      </c>
      <c r="DU66" s="154">
        <f t="shared" si="103"/>
        <v>0</v>
      </c>
      <c r="DV66" s="154">
        <f t="shared" si="104"/>
        <v>0</v>
      </c>
      <c r="DW66" s="154">
        <f t="shared" si="105"/>
        <v>0</v>
      </c>
      <c r="DX66" s="154">
        <f t="shared" si="106"/>
        <v>0</v>
      </c>
      <c r="DY66" s="154">
        <f t="shared" si="107"/>
        <v>0</v>
      </c>
      <c r="DZ66" s="154">
        <f t="shared" si="108"/>
        <v>0</v>
      </c>
      <c r="EA66" s="154">
        <f t="shared" si="40"/>
        <v>0</v>
      </c>
      <c r="EB66" s="154">
        <f t="shared" si="109"/>
        <v>15000000</v>
      </c>
      <c r="EC66" s="326"/>
      <c r="ED66" s="201">
        <f t="shared" si="42"/>
        <v>15000000</v>
      </c>
      <c r="EE66" s="202">
        <f t="shared" si="128"/>
        <v>0</v>
      </c>
      <c r="EF66" s="202">
        <f t="shared" si="129"/>
        <v>0</v>
      </c>
      <c r="EG66" s="202">
        <f t="shared" si="130"/>
        <v>0</v>
      </c>
      <c r="EH66" s="202">
        <f t="shared" si="131"/>
        <v>0</v>
      </c>
      <c r="EI66" s="202">
        <f t="shared" si="132"/>
        <v>0</v>
      </c>
      <c r="EJ66" s="202">
        <f t="shared" si="133"/>
        <v>0</v>
      </c>
      <c r="EK66" s="202">
        <f t="shared" si="134"/>
        <v>0</v>
      </c>
      <c r="EL66" s="202">
        <f t="shared" si="135"/>
        <v>0</v>
      </c>
      <c r="EM66" s="203">
        <f t="shared" si="136"/>
        <v>0</v>
      </c>
      <c r="EN66" s="326" t="s">
        <v>327</v>
      </c>
      <c r="EO66" s="200">
        <f t="shared" si="43"/>
        <v>0</v>
      </c>
      <c r="EP66" s="154">
        <f t="shared" si="110"/>
        <v>0</v>
      </c>
      <c r="EQ66" s="154">
        <f t="shared" si="111"/>
        <v>0</v>
      </c>
      <c r="ER66" s="154">
        <f t="shared" si="112"/>
        <v>0</v>
      </c>
      <c r="ES66" s="154">
        <f t="shared" si="113"/>
        <v>0</v>
      </c>
      <c r="ET66" s="154">
        <f t="shared" si="114"/>
        <v>0</v>
      </c>
      <c r="EU66" s="154">
        <f t="shared" si="115"/>
        <v>0</v>
      </c>
      <c r="EV66" s="154">
        <f t="shared" si="116"/>
        <v>0</v>
      </c>
      <c r="EW66" s="154">
        <f t="shared" si="117"/>
        <v>0</v>
      </c>
      <c r="EX66" s="154">
        <f t="shared" si="118"/>
        <v>0</v>
      </c>
      <c r="EY66" s="154">
        <f t="shared" si="53"/>
        <v>0</v>
      </c>
      <c r="EZ66" s="154">
        <f t="shared" si="119"/>
        <v>0</v>
      </c>
      <c r="FA66" s="326"/>
      <c r="FB66" s="201">
        <f t="shared" si="55"/>
        <v>0</v>
      </c>
      <c r="FC66" s="202">
        <f t="shared" si="137"/>
        <v>0</v>
      </c>
      <c r="FD66" s="202">
        <f t="shared" si="138"/>
        <v>0</v>
      </c>
      <c r="FE66" s="202">
        <f t="shared" si="139"/>
        <v>0</v>
      </c>
      <c r="FF66" s="202">
        <f t="shared" si="140"/>
        <v>0</v>
      </c>
      <c r="FG66" s="202">
        <f t="shared" si="141"/>
        <v>0</v>
      </c>
      <c r="FH66" s="202">
        <f t="shared" si="142"/>
        <v>0</v>
      </c>
      <c r="FI66" s="202">
        <f t="shared" si="143"/>
        <v>0</v>
      </c>
      <c r="FJ66" s="202">
        <f t="shared" si="144"/>
        <v>0</v>
      </c>
      <c r="FK66" s="203">
        <f t="shared" si="145"/>
        <v>0</v>
      </c>
    </row>
    <row r="67" spans="1:167" s="6" customFormat="1">
      <c r="A67" s="204" t="s">
        <v>92</v>
      </c>
      <c r="B67" s="204" t="s">
        <v>190</v>
      </c>
      <c r="C67" s="205" t="s">
        <v>848</v>
      </c>
      <c r="D67" s="206">
        <f t="shared" si="56"/>
        <v>62</v>
      </c>
      <c r="E67" s="327" t="s">
        <v>327</v>
      </c>
      <c r="F67" s="219"/>
      <c r="G67" s="219"/>
      <c r="H67" s="219"/>
      <c r="I67" s="219">
        <v>100000</v>
      </c>
      <c r="J67" s="219"/>
      <c r="K67" s="219"/>
      <c r="L67" s="479" t="s">
        <v>843</v>
      </c>
      <c r="M67" s="480" t="s">
        <v>907</v>
      </c>
      <c r="N67" s="327" t="s">
        <v>327</v>
      </c>
      <c r="O67" s="209"/>
      <c r="P67" s="209"/>
      <c r="Q67" s="209"/>
      <c r="R67" s="209"/>
      <c r="S67" s="207"/>
      <c r="T67" s="207"/>
      <c r="U67" s="211"/>
      <c r="V67" s="211"/>
      <c r="W67" s="326" t="s">
        <v>327</v>
      </c>
      <c r="X67" s="207">
        <v>0</v>
      </c>
      <c r="Y67" s="207">
        <v>0</v>
      </c>
      <c r="Z67" s="207">
        <v>0</v>
      </c>
      <c r="AA67" s="207">
        <v>0</v>
      </c>
      <c r="AB67" s="207">
        <v>3042300</v>
      </c>
      <c r="AC67" s="207">
        <v>0</v>
      </c>
      <c r="AD67" s="207">
        <v>3042300</v>
      </c>
      <c r="AE67" s="207" t="s">
        <v>391</v>
      </c>
      <c r="AF67" s="211"/>
      <c r="AG67" s="326" t="s">
        <v>327</v>
      </c>
      <c r="AH67" s="207"/>
      <c r="AI67" s="207"/>
      <c r="AJ67" s="207"/>
      <c r="AK67" s="207">
        <f>I67</f>
        <v>100000</v>
      </c>
      <c r="AL67" s="207"/>
      <c r="AM67" s="207"/>
      <c r="AN67" s="207">
        <f t="shared" ref="AN67" si="318">AK67</f>
        <v>100000</v>
      </c>
      <c r="AO67" s="207" t="str">
        <f>L67</f>
        <v>DOE estimate</v>
      </c>
      <c r="AP67" s="211" t="str">
        <f>M67</f>
        <v>Unverified</v>
      </c>
      <c r="AQ67" s="326" t="s">
        <v>327</v>
      </c>
      <c r="AR67" s="212" t="s">
        <v>775</v>
      </c>
      <c r="AS67" s="512">
        <v>0</v>
      </c>
      <c r="AT67" s="211"/>
      <c r="AU67" s="211"/>
      <c r="AV67" s="326" t="s">
        <v>327</v>
      </c>
      <c r="AW67" s="213">
        <v>1</v>
      </c>
      <c r="AX67" s="214">
        <v>1</v>
      </c>
      <c r="AY67" s="211" t="s">
        <v>416</v>
      </c>
      <c r="AZ67" s="211"/>
      <c r="BA67" s="211">
        <v>2.6</v>
      </c>
      <c r="BB67" s="211">
        <v>2.6</v>
      </c>
      <c r="BC67" s="211" t="s">
        <v>249</v>
      </c>
      <c r="BD67" s="211"/>
      <c r="BE67" s="211"/>
      <c r="BF67" s="215"/>
      <c r="BG67" s="326" t="s">
        <v>327</v>
      </c>
      <c r="BH67" s="213">
        <v>1</v>
      </c>
      <c r="BI67" s="214">
        <v>1</v>
      </c>
      <c r="BJ67" s="211" t="s">
        <v>254</v>
      </c>
      <c r="BK67" s="211"/>
      <c r="BL67" s="211">
        <v>1.2</v>
      </c>
      <c r="BM67" s="211">
        <v>0.8</v>
      </c>
      <c r="BN67" s="211" t="s">
        <v>313</v>
      </c>
      <c r="BO67" s="211"/>
      <c r="BP67" s="211"/>
      <c r="BQ67" s="211"/>
      <c r="BR67" s="326" t="s">
        <v>327</v>
      </c>
      <c r="BS67" s="216">
        <v>0</v>
      </c>
      <c r="BT67" s="216">
        <v>0</v>
      </c>
      <c r="BU67" s="216">
        <v>0</v>
      </c>
      <c r="BV67" s="216">
        <v>0</v>
      </c>
      <c r="BW67" s="216">
        <v>0</v>
      </c>
      <c r="BX67" s="216">
        <v>0</v>
      </c>
      <c r="BY67" s="216">
        <v>0</v>
      </c>
      <c r="BZ67" s="216">
        <v>0</v>
      </c>
      <c r="CA67" s="216">
        <v>0</v>
      </c>
      <c r="CB67" s="216">
        <v>0</v>
      </c>
      <c r="CC67" s="216">
        <v>0</v>
      </c>
      <c r="CD67" s="217">
        <v>1</v>
      </c>
      <c r="CE67" s="211" t="s">
        <v>445</v>
      </c>
      <c r="CF67" s="326" t="s">
        <v>327</v>
      </c>
      <c r="CG67" s="377">
        <v>1</v>
      </c>
      <c r="CH67" s="378">
        <v>0</v>
      </c>
      <c r="CI67" s="378">
        <v>0</v>
      </c>
      <c r="CJ67" s="378">
        <v>0</v>
      </c>
      <c r="CK67" s="378">
        <v>0</v>
      </c>
      <c r="CL67" s="378">
        <v>0</v>
      </c>
      <c r="CM67" s="378">
        <v>0</v>
      </c>
      <c r="CN67" s="378">
        <v>0</v>
      </c>
      <c r="CO67" s="378">
        <v>0</v>
      </c>
      <c r="CP67" s="385">
        <v>0</v>
      </c>
      <c r="CQ67" s="211" t="s">
        <v>445</v>
      </c>
      <c r="CR67" s="326" t="s">
        <v>327</v>
      </c>
      <c r="CS67" s="218">
        <f t="shared" si="225"/>
        <v>0</v>
      </c>
      <c r="CT67" s="219">
        <f t="shared" si="226"/>
        <v>0</v>
      </c>
      <c r="CU67" s="219">
        <f t="shared" si="227"/>
        <v>0</v>
      </c>
      <c r="CV67" s="219">
        <f t="shared" si="228"/>
        <v>0</v>
      </c>
      <c r="CW67" s="219">
        <f t="shared" si="229"/>
        <v>0</v>
      </c>
      <c r="CX67" s="219">
        <f t="shared" si="230"/>
        <v>0</v>
      </c>
      <c r="CY67" s="219">
        <f t="shared" si="231"/>
        <v>0</v>
      </c>
      <c r="CZ67" s="219">
        <f t="shared" si="232"/>
        <v>0</v>
      </c>
      <c r="DA67" s="219">
        <f t="shared" si="233"/>
        <v>0</v>
      </c>
      <c r="DB67" s="219">
        <f t="shared" si="234"/>
        <v>0</v>
      </c>
      <c r="DC67" s="219">
        <f t="shared" si="235"/>
        <v>0</v>
      </c>
      <c r="DD67" s="219">
        <f t="shared" si="236"/>
        <v>100000</v>
      </c>
      <c r="DE67" s="326"/>
      <c r="DF67" s="220">
        <f t="shared" si="237"/>
        <v>100000</v>
      </c>
      <c r="DG67" s="221">
        <f t="shared" si="238"/>
        <v>0</v>
      </c>
      <c r="DH67" s="221">
        <f t="shared" si="239"/>
        <v>0</v>
      </c>
      <c r="DI67" s="221">
        <f t="shared" si="240"/>
        <v>0</v>
      </c>
      <c r="DJ67" s="221">
        <f t="shared" si="241"/>
        <v>0</v>
      </c>
      <c r="DK67" s="221">
        <f t="shared" si="242"/>
        <v>0</v>
      </c>
      <c r="DL67" s="221">
        <f t="shared" si="243"/>
        <v>0</v>
      </c>
      <c r="DM67" s="221">
        <f t="shared" si="244"/>
        <v>0</v>
      </c>
      <c r="DN67" s="221">
        <f t="shared" si="245"/>
        <v>0</v>
      </c>
      <c r="DO67" s="222">
        <f t="shared" si="246"/>
        <v>0</v>
      </c>
      <c r="DP67" s="326" t="s">
        <v>327</v>
      </c>
      <c r="DQ67" s="218">
        <f t="shared" si="30"/>
        <v>0</v>
      </c>
      <c r="DR67" s="219">
        <f t="shared" si="100"/>
        <v>0</v>
      </c>
      <c r="DS67" s="219">
        <f t="shared" si="101"/>
        <v>0</v>
      </c>
      <c r="DT67" s="219">
        <f t="shared" si="102"/>
        <v>0</v>
      </c>
      <c r="DU67" s="219">
        <f t="shared" si="103"/>
        <v>0</v>
      </c>
      <c r="DV67" s="219">
        <f t="shared" si="104"/>
        <v>0</v>
      </c>
      <c r="DW67" s="219">
        <f t="shared" si="105"/>
        <v>0</v>
      </c>
      <c r="DX67" s="219">
        <f t="shared" si="106"/>
        <v>0</v>
      </c>
      <c r="DY67" s="219">
        <f t="shared" si="107"/>
        <v>0</v>
      </c>
      <c r="DZ67" s="219">
        <f t="shared" si="108"/>
        <v>0</v>
      </c>
      <c r="EA67" s="219">
        <f t="shared" si="40"/>
        <v>0</v>
      </c>
      <c r="EB67" s="219">
        <f t="shared" si="109"/>
        <v>100000</v>
      </c>
      <c r="EC67" s="326"/>
      <c r="ED67" s="220">
        <f t="shared" si="42"/>
        <v>100000</v>
      </c>
      <c r="EE67" s="221">
        <f t="shared" si="128"/>
        <v>0</v>
      </c>
      <c r="EF67" s="221">
        <f t="shared" si="129"/>
        <v>0</v>
      </c>
      <c r="EG67" s="221">
        <f t="shared" si="130"/>
        <v>0</v>
      </c>
      <c r="EH67" s="221">
        <f t="shared" si="131"/>
        <v>0</v>
      </c>
      <c r="EI67" s="221">
        <f t="shared" si="132"/>
        <v>0</v>
      </c>
      <c r="EJ67" s="221">
        <f t="shared" si="133"/>
        <v>0</v>
      </c>
      <c r="EK67" s="221">
        <f t="shared" si="134"/>
        <v>0</v>
      </c>
      <c r="EL67" s="221">
        <f t="shared" si="135"/>
        <v>0</v>
      </c>
      <c r="EM67" s="222">
        <f t="shared" si="136"/>
        <v>0</v>
      </c>
      <c r="EN67" s="326" t="s">
        <v>327</v>
      </c>
      <c r="EO67" s="218">
        <f t="shared" si="43"/>
        <v>0</v>
      </c>
      <c r="EP67" s="219">
        <f t="shared" si="110"/>
        <v>0</v>
      </c>
      <c r="EQ67" s="219">
        <f t="shared" si="111"/>
        <v>0</v>
      </c>
      <c r="ER67" s="219">
        <f t="shared" si="112"/>
        <v>0</v>
      </c>
      <c r="ES67" s="219">
        <f t="shared" si="113"/>
        <v>0</v>
      </c>
      <c r="ET67" s="219">
        <f t="shared" si="114"/>
        <v>0</v>
      </c>
      <c r="EU67" s="219">
        <f t="shared" si="115"/>
        <v>0</v>
      </c>
      <c r="EV67" s="219">
        <f t="shared" si="116"/>
        <v>0</v>
      </c>
      <c r="EW67" s="219">
        <f t="shared" si="117"/>
        <v>0</v>
      </c>
      <c r="EX67" s="219">
        <f t="shared" si="118"/>
        <v>0</v>
      </c>
      <c r="EY67" s="219">
        <f t="shared" si="53"/>
        <v>0</v>
      </c>
      <c r="EZ67" s="219">
        <f t="shared" si="119"/>
        <v>0</v>
      </c>
      <c r="FA67" s="326"/>
      <c r="FB67" s="220">
        <f t="shared" si="55"/>
        <v>0</v>
      </c>
      <c r="FC67" s="221">
        <f t="shared" si="137"/>
        <v>0</v>
      </c>
      <c r="FD67" s="221">
        <f t="shared" si="138"/>
        <v>0</v>
      </c>
      <c r="FE67" s="221">
        <f t="shared" si="139"/>
        <v>0</v>
      </c>
      <c r="FF67" s="221">
        <f t="shared" si="140"/>
        <v>0</v>
      </c>
      <c r="FG67" s="221">
        <f t="shared" si="141"/>
        <v>0</v>
      </c>
      <c r="FH67" s="221">
        <f t="shared" si="142"/>
        <v>0</v>
      </c>
      <c r="FI67" s="221">
        <f t="shared" si="143"/>
        <v>0</v>
      </c>
      <c r="FJ67" s="221">
        <f t="shared" si="144"/>
        <v>0</v>
      </c>
      <c r="FK67" s="222">
        <f t="shared" si="145"/>
        <v>0</v>
      </c>
    </row>
    <row r="68" spans="1:167" s="6" customFormat="1" ht="13.5" customHeight="1">
      <c r="A68" s="186" t="s">
        <v>92</v>
      </c>
      <c r="B68" s="186" t="s">
        <v>189</v>
      </c>
      <c r="C68" s="187" t="s">
        <v>381</v>
      </c>
      <c r="D68" s="188">
        <f t="shared" si="56"/>
        <v>63</v>
      </c>
      <c r="E68" s="327" t="s">
        <v>327</v>
      </c>
      <c r="F68" s="154"/>
      <c r="G68" s="154"/>
      <c r="H68" s="154"/>
      <c r="I68" s="154"/>
      <c r="J68" s="154"/>
      <c r="K68" s="154"/>
      <c r="L68" s="481"/>
      <c r="M68" s="478"/>
      <c r="N68" s="327" t="s">
        <v>327</v>
      </c>
      <c r="O68" s="191"/>
      <c r="P68" s="191"/>
      <c r="Q68" s="191"/>
      <c r="R68" s="191"/>
      <c r="S68" s="189"/>
      <c r="T68" s="189"/>
      <c r="U68" s="193"/>
      <c r="V68" s="193"/>
      <c r="W68" s="326" t="s">
        <v>327</v>
      </c>
      <c r="X68" s="189">
        <v>6837000</v>
      </c>
      <c r="Y68" s="189">
        <v>0</v>
      </c>
      <c r="Z68" s="189">
        <v>0</v>
      </c>
      <c r="AA68" s="189">
        <v>9600000</v>
      </c>
      <c r="AB68" s="189">
        <v>9400000</v>
      </c>
      <c r="AC68" s="189">
        <v>0</v>
      </c>
      <c r="AD68" s="189">
        <v>9400000</v>
      </c>
      <c r="AE68" s="189" t="s">
        <v>931</v>
      </c>
      <c r="AF68" s="193" t="s">
        <v>327</v>
      </c>
      <c r="AG68" s="326" t="s">
        <v>327</v>
      </c>
      <c r="AH68" s="189"/>
      <c r="AI68" s="189"/>
      <c r="AJ68" s="189"/>
      <c r="AK68" s="189">
        <f t="shared" ref="AK68" si="319">AD68</f>
        <v>9400000</v>
      </c>
      <c r="AL68" s="189"/>
      <c r="AM68" s="189"/>
      <c r="AN68" s="189">
        <f t="shared" si="317"/>
        <v>9400000</v>
      </c>
      <c r="AO68" s="189" t="str">
        <f t="shared" ref="AO68" si="320">AE68</f>
        <v>Appliance Magazine 2009c</v>
      </c>
      <c r="AP68" s="193" t="str">
        <f t="shared" ref="AP68" si="321">AF68</f>
        <v xml:space="preserve"> </v>
      </c>
      <c r="AQ68" s="326" t="s">
        <v>327</v>
      </c>
      <c r="AR68" s="194" t="s">
        <v>775</v>
      </c>
      <c r="AS68" s="511">
        <v>0</v>
      </c>
      <c r="AT68" s="193"/>
      <c r="AU68" s="193"/>
      <c r="AV68" s="326" t="s">
        <v>327</v>
      </c>
      <c r="AW68" s="195">
        <v>0.75</v>
      </c>
      <c r="AX68" s="196">
        <v>1</v>
      </c>
      <c r="AY68" s="193" t="s">
        <v>274</v>
      </c>
      <c r="AZ68" s="193"/>
      <c r="BA68" s="193">
        <v>15</v>
      </c>
      <c r="BB68" s="193">
        <f>BA68*0.42</f>
        <v>6.3</v>
      </c>
      <c r="BC68" s="193" t="s">
        <v>337</v>
      </c>
      <c r="BD68" s="193">
        <v>3</v>
      </c>
      <c r="BE68" s="193">
        <f>BD68*0.1</f>
        <v>0.30000000000000004</v>
      </c>
      <c r="BF68" s="197" t="s">
        <v>337</v>
      </c>
      <c r="BG68" s="326" t="s">
        <v>327</v>
      </c>
      <c r="BH68" s="195">
        <v>0.25</v>
      </c>
      <c r="BI68" s="196">
        <v>1</v>
      </c>
      <c r="BJ68" s="193" t="s">
        <v>249</v>
      </c>
      <c r="BK68" s="193"/>
      <c r="BL68" s="193">
        <v>2.4</v>
      </c>
      <c r="BM68" s="193">
        <f>BL68*1.65</f>
        <v>3.9599999999999995</v>
      </c>
      <c r="BN68" s="193" t="s">
        <v>338</v>
      </c>
      <c r="BO68" s="193"/>
      <c r="BP68" s="193"/>
      <c r="BQ68" s="193"/>
      <c r="BR68" s="326" t="s">
        <v>327</v>
      </c>
      <c r="BS68" s="198">
        <v>0.75</v>
      </c>
      <c r="BT68" s="198">
        <v>0.75</v>
      </c>
      <c r="BU68" s="198">
        <v>0</v>
      </c>
      <c r="BV68" s="198">
        <v>0</v>
      </c>
      <c r="BW68" s="198">
        <v>0</v>
      </c>
      <c r="BX68" s="198">
        <v>0</v>
      </c>
      <c r="BY68" s="198">
        <v>0</v>
      </c>
      <c r="BZ68" s="198">
        <v>0</v>
      </c>
      <c r="CA68" s="198">
        <v>0</v>
      </c>
      <c r="CB68" s="198">
        <v>0</v>
      </c>
      <c r="CC68" s="198">
        <v>0</v>
      </c>
      <c r="CD68" s="199">
        <v>0.25</v>
      </c>
      <c r="CE68" s="193" t="s">
        <v>1235</v>
      </c>
      <c r="CF68" s="326" t="s">
        <v>327</v>
      </c>
      <c r="CG68" s="379">
        <v>0</v>
      </c>
      <c r="CH68" s="380">
        <v>1</v>
      </c>
      <c r="CI68" s="380">
        <v>0</v>
      </c>
      <c r="CJ68" s="380">
        <v>0</v>
      </c>
      <c r="CK68" s="380">
        <v>0</v>
      </c>
      <c r="CL68" s="380">
        <v>0</v>
      </c>
      <c r="CM68" s="380">
        <v>0</v>
      </c>
      <c r="CN68" s="380">
        <v>0</v>
      </c>
      <c r="CO68" s="380">
        <v>0</v>
      </c>
      <c r="CP68" s="386">
        <v>0</v>
      </c>
      <c r="CQ68" s="193" t="s">
        <v>339</v>
      </c>
      <c r="CR68" s="326" t="s">
        <v>327</v>
      </c>
      <c r="CS68" s="200">
        <f t="shared" si="225"/>
        <v>5287500</v>
      </c>
      <c r="CT68" s="154">
        <f t="shared" si="226"/>
        <v>5287500</v>
      </c>
      <c r="CU68" s="154">
        <f t="shared" si="227"/>
        <v>0</v>
      </c>
      <c r="CV68" s="154">
        <f t="shared" si="228"/>
        <v>0</v>
      </c>
      <c r="CW68" s="154">
        <f t="shared" si="229"/>
        <v>0</v>
      </c>
      <c r="CX68" s="154">
        <f t="shared" si="230"/>
        <v>0</v>
      </c>
      <c r="CY68" s="154">
        <f t="shared" si="231"/>
        <v>0</v>
      </c>
      <c r="CZ68" s="154">
        <f t="shared" si="232"/>
        <v>0</v>
      </c>
      <c r="DA68" s="154">
        <f t="shared" si="233"/>
        <v>0</v>
      </c>
      <c r="DB68" s="154">
        <f t="shared" si="234"/>
        <v>0</v>
      </c>
      <c r="DC68" s="154">
        <f t="shared" si="235"/>
        <v>0</v>
      </c>
      <c r="DD68" s="154">
        <f t="shared" si="236"/>
        <v>1762500</v>
      </c>
      <c r="DE68" s="326"/>
      <c r="DF68" s="201">
        <f t="shared" si="237"/>
        <v>0</v>
      </c>
      <c r="DG68" s="202">
        <f t="shared" si="238"/>
        <v>2350000</v>
      </c>
      <c r="DH68" s="202">
        <f t="shared" si="239"/>
        <v>0</v>
      </c>
      <c r="DI68" s="202">
        <f t="shared" si="240"/>
        <v>0</v>
      </c>
      <c r="DJ68" s="202">
        <f t="shared" si="241"/>
        <v>0</v>
      </c>
      <c r="DK68" s="202">
        <f t="shared" si="242"/>
        <v>0</v>
      </c>
      <c r="DL68" s="202">
        <f t="shared" si="243"/>
        <v>0</v>
      </c>
      <c r="DM68" s="202">
        <f t="shared" si="244"/>
        <v>0</v>
      </c>
      <c r="DN68" s="202">
        <f t="shared" si="245"/>
        <v>0</v>
      </c>
      <c r="DO68" s="203">
        <f t="shared" si="246"/>
        <v>0</v>
      </c>
      <c r="DP68" s="326" t="s">
        <v>327</v>
      </c>
      <c r="DQ68" s="200">
        <f t="shared" ref="DQ68:DQ84" si="322">CS68*(1-$AS68)</f>
        <v>5287500</v>
      </c>
      <c r="DR68" s="154">
        <f t="shared" si="100"/>
        <v>5287500</v>
      </c>
      <c r="DS68" s="154">
        <f t="shared" si="101"/>
        <v>0</v>
      </c>
      <c r="DT68" s="154">
        <f t="shared" si="102"/>
        <v>0</v>
      </c>
      <c r="DU68" s="154">
        <f t="shared" si="103"/>
        <v>0</v>
      </c>
      <c r="DV68" s="154">
        <f t="shared" si="104"/>
        <v>0</v>
      </c>
      <c r="DW68" s="154">
        <f t="shared" si="105"/>
        <v>0</v>
      </c>
      <c r="DX68" s="154">
        <f t="shared" si="106"/>
        <v>0</v>
      </c>
      <c r="DY68" s="154">
        <f t="shared" si="107"/>
        <v>0</v>
      </c>
      <c r="DZ68" s="154">
        <f t="shared" si="108"/>
        <v>0</v>
      </c>
      <c r="EA68" s="154">
        <f t="shared" si="40"/>
        <v>0</v>
      </c>
      <c r="EB68" s="154">
        <f t="shared" si="109"/>
        <v>1762500</v>
      </c>
      <c r="EC68" s="326"/>
      <c r="ED68" s="201">
        <f t="shared" ref="ED68:ED84" si="323">DF68*(1-$AS68)</f>
        <v>0</v>
      </c>
      <c r="EE68" s="202">
        <f t="shared" si="128"/>
        <v>2350000</v>
      </c>
      <c r="EF68" s="202">
        <f t="shared" si="129"/>
        <v>0</v>
      </c>
      <c r="EG68" s="202">
        <f t="shared" si="130"/>
        <v>0</v>
      </c>
      <c r="EH68" s="202">
        <f t="shared" si="131"/>
        <v>0</v>
      </c>
      <c r="EI68" s="202">
        <f t="shared" si="132"/>
        <v>0</v>
      </c>
      <c r="EJ68" s="202">
        <f t="shared" si="133"/>
        <v>0</v>
      </c>
      <c r="EK68" s="202">
        <f t="shared" si="134"/>
        <v>0</v>
      </c>
      <c r="EL68" s="202">
        <f t="shared" si="135"/>
        <v>0</v>
      </c>
      <c r="EM68" s="203">
        <f t="shared" si="136"/>
        <v>0</v>
      </c>
      <c r="EN68" s="326" t="s">
        <v>327</v>
      </c>
      <c r="EO68" s="200">
        <f t="shared" ref="EO68:EO84" si="324">CS68*$AS68</f>
        <v>0</v>
      </c>
      <c r="EP68" s="154">
        <f t="shared" si="110"/>
        <v>0</v>
      </c>
      <c r="EQ68" s="154">
        <f t="shared" si="111"/>
        <v>0</v>
      </c>
      <c r="ER68" s="154">
        <f t="shared" si="112"/>
        <v>0</v>
      </c>
      <c r="ES68" s="154">
        <f t="shared" si="113"/>
        <v>0</v>
      </c>
      <c r="ET68" s="154">
        <f t="shared" si="114"/>
        <v>0</v>
      </c>
      <c r="EU68" s="154">
        <f t="shared" si="115"/>
        <v>0</v>
      </c>
      <c r="EV68" s="154">
        <f t="shared" si="116"/>
        <v>0</v>
      </c>
      <c r="EW68" s="154">
        <f t="shared" si="117"/>
        <v>0</v>
      </c>
      <c r="EX68" s="154">
        <f t="shared" si="118"/>
        <v>0</v>
      </c>
      <c r="EY68" s="154">
        <f t="shared" si="53"/>
        <v>0</v>
      </c>
      <c r="EZ68" s="154">
        <f t="shared" si="119"/>
        <v>0</v>
      </c>
      <c r="FA68" s="326"/>
      <c r="FB68" s="201">
        <f t="shared" ref="FB68:FB84" si="325">DF68*$AS68</f>
        <v>0</v>
      </c>
      <c r="FC68" s="202">
        <f t="shared" si="137"/>
        <v>0</v>
      </c>
      <c r="FD68" s="202">
        <f t="shared" si="138"/>
        <v>0</v>
      </c>
      <c r="FE68" s="202">
        <f t="shared" si="139"/>
        <v>0</v>
      </c>
      <c r="FF68" s="202">
        <f t="shared" si="140"/>
        <v>0</v>
      </c>
      <c r="FG68" s="202">
        <f t="shared" si="141"/>
        <v>0</v>
      </c>
      <c r="FH68" s="202">
        <f t="shared" si="142"/>
        <v>0</v>
      </c>
      <c r="FI68" s="202">
        <f t="shared" si="143"/>
        <v>0</v>
      </c>
      <c r="FJ68" s="202">
        <f t="shared" si="144"/>
        <v>0</v>
      </c>
      <c r="FK68" s="203">
        <f t="shared" si="145"/>
        <v>0</v>
      </c>
    </row>
    <row r="69" spans="1:167" s="6" customFormat="1">
      <c r="A69" s="240" t="s">
        <v>92</v>
      </c>
      <c r="B69" s="204" t="s">
        <v>189</v>
      </c>
      <c r="C69" s="205" t="s">
        <v>136</v>
      </c>
      <c r="D69" s="206">
        <f t="shared" si="56"/>
        <v>64</v>
      </c>
      <c r="E69" s="327" t="s">
        <v>327</v>
      </c>
      <c r="F69" s="219"/>
      <c r="G69" s="219"/>
      <c r="H69" s="219"/>
      <c r="I69" s="219"/>
      <c r="J69" s="219"/>
      <c r="K69" s="219"/>
      <c r="L69" s="290"/>
      <c r="M69" s="480"/>
      <c r="N69" s="327" t="s">
        <v>327</v>
      </c>
      <c r="O69" s="207"/>
      <c r="P69" s="207"/>
      <c r="Q69" s="207"/>
      <c r="R69" s="207"/>
      <c r="S69" s="207"/>
      <c r="T69" s="207"/>
      <c r="U69" s="211"/>
      <c r="V69" s="211"/>
      <c r="W69" s="326" t="s">
        <v>327</v>
      </c>
      <c r="X69" s="207">
        <v>0</v>
      </c>
      <c r="Y69" s="207">
        <v>0</v>
      </c>
      <c r="Z69" s="207">
        <v>0</v>
      </c>
      <c r="AA69" s="207">
        <v>6067874</v>
      </c>
      <c r="AB69" s="207">
        <v>0</v>
      </c>
      <c r="AC69" s="207">
        <v>0</v>
      </c>
      <c r="AD69" s="208">
        <v>6067874</v>
      </c>
      <c r="AE69" s="211" t="s">
        <v>931</v>
      </c>
      <c r="AF69" s="215" t="s">
        <v>327</v>
      </c>
      <c r="AG69" s="326" t="s">
        <v>327</v>
      </c>
      <c r="AH69" s="207"/>
      <c r="AI69" s="207"/>
      <c r="AJ69" s="207"/>
      <c r="AK69" s="207">
        <f t="shared" ref="AK69:AK70" si="326">AD69</f>
        <v>6067874</v>
      </c>
      <c r="AL69" s="207"/>
      <c r="AM69" s="207"/>
      <c r="AN69" s="208">
        <f t="shared" ref="AN69:AN70" si="327">AK69</f>
        <v>6067874</v>
      </c>
      <c r="AO69" s="211" t="str">
        <f t="shared" ref="AO69:AO70" si="328">AE69</f>
        <v>Appliance Magazine 2009c</v>
      </c>
      <c r="AP69" s="215" t="str">
        <f t="shared" ref="AP69:AP70" si="329">AF69</f>
        <v xml:space="preserve"> </v>
      </c>
      <c r="AQ69" s="326" t="s">
        <v>327</v>
      </c>
      <c r="AR69" s="212" t="s">
        <v>775</v>
      </c>
      <c r="AS69" s="512">
        <v>0</v>
      </c>
      <c r="AT69" s="211"/>
      <c r="AU69" s="211"/>
      <c r="AV69" s="326" t="s">
        <v>327</v>
      </c>
      <c r="AW69" s="213">
        <v>0.75</v>
      </c>
      <c r="AX69" s="214">
        <v>1</v>
      </c>
      <c r="AY69" s="211" t="s">
        <v>274</v>
      </c>
      <c r="AZ69" s="211"/>
      <c r="BA69" s="211">
        <v>15</v>
      </c>
      <c r="BB69" s="211">
        <f>BA69*0.42</f>
        <v>6.3</v>
      </c>
      <c r="BC69" s="211" t="s">
        <v>1236</v>
      </c>
      <c r="BD69" s="211"/>
      <c r="BE69" s="211"/>
      <c r="BF69" s="211"/>
      <c r="BG69" s="326" t="s">
        <v>327</v>
      </c>
      <c r="BH69" s="213">
        <v>0.25</v>
      </c>
      <c r="BI69" s="214">
        <v>1</v>
      </c>
      <c r="BJ69" s="211" t="s">
        <v>249</v>
      </c>
      <c r="BK69" s="211"/>
      <c r="BL69" s="237">
        <v>2.4</v>
      </c>
      <c r="BM69" s="237">
        <f>BL69*1.65</f>
        <v>3.9599999999999995</v>
      </c>
      <c r="BN69" s="716" t="s">
        <v>339</v>
      </c>
      <c r="BO69" s="211"/>
      <c r="BP69" s="211"/>
      <c r="BQ69" s="211"/>
      <c r="BR69" s="326" t="s">
        <v>327</v>
      </c>
      <c r="BS69" s="216">
        <v>0.25</v>
      </c>
      <c r="BT69" s="216">
        <v>0.25</v>
      </c>
      <c r="BU69" s="216">
        <v>0</v>
      </c>
      <c r="BV69" s="216">
        <v>0</v>
      </c>
      <c r="BW69" s="216">
        <v>0</v>
      </c>
      <c r="BX69" s="216">
        <v>0</v>
      </c>
      <c r="BY69" s="216">
        <v>0</v>
      </c>
      <c r="BZ69" s="216">
        <v>0</v>
      </c>
      <c r="CA69" s="216">
        <v>0</v>
      </c>
      <c r="CB69" s="216">
        <v>0</v>
      </c>
      <c r="CC69" s="216">
        <v>0</v>
      </c>
      <c r="CD69" s="217">
        <v>0.75</v>
      </c>
      <c r="CE69" s="211" t="s">
        <v>1235</v>
      </c>
      <c r="CF69" s="326" t="s">
        <v>327</v>
      </c>
      <c r="CG69" s="377">
        <v>0</v>
      </c>
      <c r="CH69" s="378">
        <v>1</v>
      </c>
      <c r="CI69" s="378">
        <v>0</v>
      </c>
      <c r="CJ69" s="378">
        <v>0</v>
      </c>
      <c r="CK69" s="378">
        <v>0</v>
      </c>
      <c r="CL69" s="378">
        <v>0</v>
      </c>
      <c r="CM69" s="378">
        <v>0</v>
      </c>
      <c r="CN69" s="378">
        <v>0</v>
      </c>
      <c r="CO69" s="378">
        <v>0</v>
      </c>
      <c r="CP69" s="385">
        <v>0</v>
      </c>
      <c r="CQ69" s="211" t="s">
        <v>339</v>
      </c>
      <c r="CR69" s="326" t="s">
        <v>327</v>
      </c>
      <c r="CS69" s="218">
        <f t="shared" si="225"/>
        <v>1137726.375</v>
      </c>
      <c r="CT69" s="219">
        <f t="shared" si="226"/>
        <v>1137726.375</v>
      </c>
      <c r="CU69" s="219">
        <f t="shared" si="227"/>
        <v>0</v>
      </c>
      <c r="CV69" s="219">
        <f t="shared" si="228"/>
        <v>0</v>
      </c>
      <c r="CW69" s="219">
        <f t="shared" si="229"/>
        <v>0</v>
      </c>
      <c r="CX69" s="219">
        <f t="shared" si="230"/>
        <v>0</v>
      </c>
      <c r="CY69" s="219">
        <f t="shared" si="231"/>
        <v>0</v>
      </c>
      <c r="CZ69" s="219">
        <f t="shared" si="232"/>
        <v>0</v>
      </c>
      <c r="DA69" s="219">
        <f t="shared" si="233"/>
        <v>0</v>
      </c>
      <c r="DB69" s="219">
        <f t="shared" si="234"/>
        <v>0</v>
      </c>
      <c r="DC69" s="219">
        <f t="shared" si="235"/>
        <v>0</v>
      </c>
      <c r="DD69" s="219">
        <f t="shared" si="236"/>
        <v>3413179.125</v>
      </c>
      <c r="DE69" s="326"/>
      <c r="DF69" s="220">
        <f t="shared" si="237"/>
        <v>0</v>
      </c>
      <c r="DG69" s="221">
        <f t="shared" si="238"/>
        <v>1516968.5</v>
      </c>
      <c r="DH69" s="221">
        <f t="shared" si="239"/>
        <v>0</v>
      </c>
      <c r="DI69" s="221">
        <f t="shared" si="240"/>
        <v>0</v>
      </c>
      <c r="DJ69" s="221">
        <f t="shared" si="241"/>
        <v>0</v>
      </c>
      <c r="DK69" s="221">
        <f t="shared" si="242"/>
        <v>0</v>
      </c>
      <c r="DL69" s="221">
        <f t="shared" si="243"/>
        <v>0</v>
      </c>
      <c r="DM69" s="221">
        <f t="shared" si="244"/>
        <v>0</v>
      </c>
      <c r="DN69" s="221">
        <f t="shared" si="245"/>
        <v>0</v>
      </c>
      <c r="DO69" s="222">
        <f t="shared" si="246"/>
        <v>0</v>
      </c>
      <c r="DP69" s="326" t="s">
        <v>327</v>
      </c>
      <c r="DQ69" s="218">
        <f t="shared" si="322"/>
        <v>1137726.375</v>
      </c>
      <c r="DR69" s="219">
        <f t="shared" si="100"/>
        <v>1137726.375</v>
      </c>
      <c r="DS69" s="219">
        <f t="shared" si="101"/>
        <v>0</v>
      </c>
      <c r="DT69" s="219">
        <f t="shared" si="102"/>
        <v>0</v>
      </c>
      <c r="DU69" s="219">
        <f t="shared" si="103"/>
        <v>0</v>
      </c>
      <c r="DV69" s="219">
        <f t="shared" si="104"/>
        <v>0</v>
      </c>
      <c r="DW69" s="219">
        <f t="shared" si="105"/>
        <v>0</v>
      </c>
      <c r="DX69" s="219">
        <f t="shared" si="106"/>
        <v>0</v>
      </c>
      <c r="DY69" s="219">
        <f t="shared" si="107"/>
        <v>0</v>
      </c>
      <c r="DZ69" s="219">
        <f t="shared" si="108"/>
        <v>0</v>
      </c>
      <c r="EA69" s="219">
        <f t="shared" si="40"/>
        <v>0</v>
      </c>
      <c r="EB69" s="219">
        <f t="shared" si="109"/>
        <v>3413179.125</v>
      </c>
      <c r="EC69" s="326"/>
      <c r="ED69" s="220">
        <f t="shared" si="323"/>
        <v>0</v>
      </c>
      <c r="EE69" s="221">
        <f t="shared" si="128"/>
        <v>1516968.5</v>
      </c>
      <c r="EF69" s="221">
        <f t="shared" si="129"/>
        <v>0</v>
      </c>
      <c r="EG69" s="221">
        <f t="shared" si="130"/>
        <v>0</v>
      </c>
      <c r="EH69" s="221">
        <f t="shared" si="131"/>
        <v>0</v>
      </c>
      <c r="EI69" s="221">
        <f t="shared" si="132"/>
        <v>0</v>
      </c>
      <c r="EJ69" s="221">
        <f t="shared" si="133"/>
        <v>0</v>
      </c>
      <c r="EK69" s="221">
        <f t="shared" si="134"/>
        <v>0</v>
      </c>
      <c r="EL69" s="221">
        <f t="shared" si="135"/>
        <v>0</v>
      </c>
      <c r="EM69" s="222">
        <f t="shared" si="136"/>
        <v>0</v>
      </c>
      <c r="EN69" s="326" t="s">
        <v>327</v>
      </c>
      <c r="EO69" s="218">
        <f t="shared" si="324"/>
        <v>0</v>
      </c>
      <c r="EP69" s="219">
        <f t="shared" si="110"/>
        <v>0</v>
      </c>
      <c r="EQ69" s="219">
        <f t="shared" si="111"/>
        <v>0</v>
      </c>
      <c r="ER69" s="219">
        <f t="shared" si="112"/>
        <v>0</v>
      </c>
      <c r="ES69" s="219">
        <f t="shared" si="113"/>
        <v>0</v>
      </c>
      <c r="ET69" s="219">
        <f t="shared" si="114"/>
        <v>0</v>
      </c>
      <c r="EU69" s="219">
        <f t="shared" si="115"/>
        <v>0</v>
      </c>
      <c r="EV69" s="219">
        <f t="shared" si="116"/>
        <v>0</v>
      </c>
      <c r="EW69" s="219">
        <f t="shared" si="117"/>
        <v>0</v>
      </c>
      <c r="EX69" s="219">
        <f t="shared" si="118"/>
        <v>0</v>
      </c>
      <c r="EY69" s="219">
        <f t="shared" si="53"/>
        <v>0</v>
      </c>
      <c r="EZ69" s="219">
        <f t="shared" si="119"/>
        <v>0</v>
      </c>
      <c r="FA69" s="326"/>
      <c r="FB69" s="220">
        <f t="shared" si="325"/>
        <v>0</v>
      </c>
      <c r="FC69" s="221">
        <f t="shared" si="137"/>
        <v>0</v>
      </c>
      <c r="FD69" s="221">
        <f t="shared" si="138"/>
        <v>0</v>
      </c>
      <c r="FE69" s="221">
        <f t="shared" si="139"/>
        <v>0</v>
      </c>
      <c r="FF69" s="221">
        <f t="shared" si="140"/>
        <v>0</v>
      </c>
      <c r="FG69" s="221">
        <f t="shared" si="141"/>
        <v>0</v>
      </c>
      <c r="FH69" s="221">
        <f t="shared" si="142"/>
        <v>0</v>
      </c>
      <c r="FI69" s="221">
        <f t="shared" si="143"/>
        <v>0</v>
      </c>
      <c r="FJ69" s="221">
        <f t="shared" si="144"/>
        <v>0</v>
      </c>
      <c r="FK69" s="222">
        <f t="shared" si="145"/>
        <v>0</v>
      </c>
    </row>
    <row r="70" spans="1:167" s="6" customFormat="1">
      <c r="A70" s="275" t="s">
        <v>92</v>
      </c>
      <c r="B70" s="186" t="s">
        <v>189</v>
      </c>
      <c r="C70" s="187" t="s">
        <v>137</v>
      </c>
      <c r="D70" s="188">
        <f t="shared" si="56"/>
        <v>65</v>
      </c>
      <c r="E70" s="327" t="s">
        <v>327</v>
      </c>
      <c r="F70" s="154"/>
      <c r="G70" s="154"/>
      <c r="H70" s="154"/>
      <c r="I70" s="154"/>
      <c r="J70" s="154"/>
      <c r="K70" s="154"/>
      <c r="L70" s="156"/>
      <c r="M70" s="376"/>
      <c r="N70" s="327" t="s">
        <v>327</v>
      </c>
      <c r="O70" s="189"/>
      <c r="P70" s="189"/>
      <c r="Q70" s="189"/>
      <c r="R70" s="189"/>
      <c r="S70" s="189"/>
      <c r="T70" s="189"/>
      <c r="U70" s="156"/>
      <c r="V70" s="193"/>
      <c r="W70" s="326" t="s">
        <v>327</v>
      </c>
      <c r="X70" s="189">
        <v>6573365</v>
      </c>
      <c r="Y70" s="189">
        <v>0</v>
      </c>
      <c r="Z70" s="189">
        <v>0</v>
      </c>
      <c r="AA70" s="189">
        <v>8820000</v>
      </c>
      <c r="AB70" s="189">
        <v>8656000</v>
      </c>
      <c r="AC70" s="189">
        <v>0</v>
      </c>
      <c r="AD70" s="190">
        <v>8656000</v>
      </c>
      <c r="AE70" s="193" t="s">
        <v>931</v>
      </c>
      <c r="AF70" s="197" t="s">
        <v>327</v>
      </c>
      <c r="AG70" s="326" t="s">
        <v>327</v>
      </c>
      <c r="AH70" s="189"/>
      <c r="AI70" s="189"/>
      <c r="AJ70" s="189"/>
      <c r="AK70" s="189">
        <f t="shared" si="326"/>
        <v>8656000</v>
      </c>
      <c r="AL70" s="189"/>
      <c r="AM70" s="189"/>
      <c r="AN70" s="190">
        <f t="shared" si="327"/>
        <v>8656000</v>
      </c>
      <c r="AO70" s="193" t="str">
        <f t="shared" si="328"/>
        <v>Appliance Magazine 2009c</v>
      </c>
      <c r="AP70" s="197" t="str">
        <f t="shared" si="329"/>
        <v xml:space="preserve"> </v>
      </c>
      <c r="AQ70" s="326" t="s">
        <v>327</v>
      </c>
      <c r="AR70" s="194" t="s">
        <v>775</v>
      </c>
      <c r="AS70" s="511">
        <v>0</v>
      </c>
      <c r="AT70" s="193"/>
      <c r="AU70" s="193"/>
      <c r="AV70" s="326" t="s">
        <v>327</v>
      </c>
      <c r="AW70" s="195">
        <v>1</v>
      </c>
      <c r="AX70" s="196">
        <v>1</v>
      </c>
      <c r="AY70" s="193" t="s">
        <v>416</v>
      </c>
      <c r="AZ70" s="193"/>
      <c r="BA70" s="193">
        <v>15</v>
      </c>
      <c r="BB70" s="193">
        <f>BA70*0.42</f>
        <v>6.3</v>
      </c>
      <c r="BC70" s="193" t="s">
        <v>1236</v>
      </c>
      <c r="BD70" s="193"/>
      <c r="BE70" s="193"/>
      <c r="BF70" s="197"/>
      <c r="BG70" s="326" t="s">
        <v>327</v>
      </c>
      <c r="BH70" s="195">
        <v>1</v>
      </c>
      <c r="BI70" s="196">
        <v>1</v>
      </c>
      <c r="BJ70" s="193" t="s">
        <v>249</v>
      </c>
      <c r="BK70" s="193"/>
      <c r="BL70" s="193">
        <v>2.4</v>
      </c>
      <c r="BM70" s="193">
        <f>BL70*1.65</f>
        <v>3.9599999999999995</v>
      </c>
      <c r="BN70" s="193" t="s">
        <v>339</v>
      </c>
      <c r="BO70" s="193"/>
      <c r="BP70" s="193"/>
      <c r="BQ70" s="193"/>
      <c r="BR70" s="326" t="s">
        <v>327</v>
      </c>
      <c r="BS70" s="198">
        <v>0.25</v>
      </c>
      <c r="BT70" s="198">
        <v>0.25</v>
      </c>
      <c r="BU70" s="198">
        <v>0</v>
      </c>
      <c r="BV70" s="198">
        <v>0</v>
      </c>
      <c r="BW70" s="198">
        <v>0</v>
      </c>
      <c r="BX70" s="198">
        <v>0</v>
      </c>
      <c r="BY70" s="198">
        <v>0</v>
      </c>
      <c r="BZ70" s="198">
        <v>0</v>
      </c>
      <c r="CA70" s="198">
        <v>0</v>
      </c>
      <c r="CB70" s="198">
        <v>0</v>
      </c>
      <c r="CC70" s="198">
        <v>0</v>
      </c>
      <c r="CD70" s="199">
        <v>0.75</v>
      </c>
      <c r="CE70" s="193" t="s">
        <v>1235</v>
      </c>
      <c r="CF70" s="326" t="s">
        <v>327</v>
      </c>
      <c r="CG70" s="379">
        <v>0</v>
      </c>
      <c r="CH70" s="380">
        <v>1</v>
      </c>
      <c r="CI70" s="380">
        <v>0</v>
      </c>
      <c r="CJ70" s="380">
        <v>0</v>
      </c>
      <c r="CK70" s="380">
        <v>0</v>
      </c>
      <c r="CL70" s="380">
        <v>0</v>
      </c>
      <c r="CM70" s="380">
        <v>0</v>
      </c>
      <c r="CN70" s="380">
        <v>0</v>
      </c>
      <c r="CO70" s="380">
        <v>0</v>
      </c>
      <c r="CP70" s="386">
        <v>0</v>
      </c>
      <c r="CQ70" s="193" t="s">
        <v>446</v>
      </c>
      <c r="CR70" s="326" t="s">
        <v>327</v>
      </c>
      <c r="CS70" s="200">
        <f t="shared" ref="CS70:CS84" si="330">$AN70*$AW70*$AX70*BS70</f>
        <v>2164000</v>
      </c>
      <c r="CT70" s="154">
        <f t="shared" ref="CT70:CT84" si="331">$AN70*$AW70*$AX70*BT70</f>
        <v>2164000</v>
      </c>
      <c r="CU70" s="154">
        <f t="shared" ref="CU70:CU84" si="332">$AN70*$AW70*$AX70*BU70</f>
        <v>0</v>
      </c>
      <c r="CV70" s="154">
        <f t="shared" ref="CV70:CV84" si="333">$AN70*$AW70*$AX70*BV70</f>
        <v>0</v>
      </c>
      <c r="CW70" s="154">
        <f t="shared" ref="CW70:CW84" si="334">$AN70*$AW70*$AX70*BW70</f>
        <v>0</v>
      </c>
      <c r="CX70" s="154">
        <f t="shared" ref="CX70:CX84" si="335">$AN70*$AW70*$AX70*BX70</f>
        <v>0</v>
      </c>
      <c r="CY70" s="154">
        <f t="shared" ref="CY70:CY84" si="336">$AN70*$AW70*$AX70*BY70</f>
        <v>0</v>
      </c>
      <c r="CZ70" s="154">
        <f t="shared" ref="CZ70:CZ84" si="337">$AN70*$AW70*$AX70*BZ70</f>
        <v>0</v>
      </c>
      <c r="DA70" s="154">
        <f t="shared" ref="DA70:DA84" si="338">$AN70*$AW70*$AX70*CA70</f>
        <v>0</v>
      </c>
      <c r="DB70" s="154">
        <f t="shared" ref="DB70:DB84" si="339">$AN70*$AW70*$AX70*CB70</f>
        <v>0</v>
      </c>
      <c r="DC70" s="154">
        <f t="shared" ref="DC70:DC84" si="340">$AN70*$AW70*$AX70*CC70</f>
        <v>0</v>
      </c>
      <c r="DD70" s="154">
        <f t="shared" ref="DD70:DD84" si="341">$AN70*$AW70*$AX70*CD70</f>
        <v>6492000</v>
      </c>
      <c r="DE70" s="326"/>
      <c r="DF70" s="201">
        <f t="shared" ref="DF70:DF84" si="342">$AN70*$BH70*$BI70*CG70</f>
        <v>0</v>
      </c>
      <c r="DG70" s="202">
        <f t="shared" ref="DG70:DG84" si="343">$AN70*$BH70*$BI70*CH70</f>
        <v>8656000</v>
      </c>
      <c r="DH70" s="202">
        <f t="shared" ref="DH70:DH84" si="344">$AN70*$BH70*$BI70*CI70</f>
        <v>0</v>
      </c>
      <c r="DI70" s="202">
        <f t="shared" ref="DI70:DI84" si="345">$AN70*$BH70*$BI70*CJ70</f>
        <v>0</v>
      </c>
      <c r="DJ70" s="202">
        <f t="shared" ref="DJ70:DJ84" si="346">$AN70*$BH70*$BI70*CK70</f>
        <v>0</v>
      </c>
      <c r="DK70" s="202">
        <f t="shared" ref="DK70:DK84" si="347">$AN70*$BH70*$BI70*CL70</f>
        <v>0</v>
      </c>
      <c r="DL70" s="202">
        <f t="shared" ref="DL70:DL84" si="348">$AN70*$BH70*$BI70*CM70</f>
        <v>0</v>
      </c>
      <c r="DM70" s="202">
        <f t="shared" ref="DM70:DM84" si="349">$AN70*$BH70*$BI70*CN70</f>
        <v>0</v>
      </c>
      <c r="DN70" s="202">
        <f t="shared" ref="DN70:DN84" si="350">$AN70*$BH70*$BI70*CO70</f>
        <v>0</v>
      </c>
      <c r="DO70" s="203">
        <f t="shared" ref="DO70:DO84" si="351">$AN70*$BH70*$BI70*CP70</f>
        <v>0</v>
      </c>
      <c r="DP70" s="326" t="s">
        <v>327</v>
      </c>
      <c r="DQ70" s="200">
        <f t="shared" si="322"/>
        <v>2164000</v>
      </c>
      <c r="DR70" s="154">
        <f t="shared" si="100"/>
        <v>2164000</v>
      </c>
      <c r="DS70" s="154">
        <f t="shared" si="101"/>
        <v>0</v>
      </c>
      <c r="DT70" s="154">
        <f t="shared" si="102"/>
        <v>0</v>
      </c>
      <c r="DU70" s="154">
        <f t="shared" si="103"/>
        <v>0</v>
      </c>
      <c r="DV70" s="154">
        <f t="shared" si="104"/>
        <v>0</v>
      </c>
      <c r="DW70" s="154">
        <f t="shared" si="105"/>
        <v>0</v>
      </c>
      <c r="DX70" s="154">
        <f t="shared" si="106"/>
        <v>0</v>
      </c>
      <c r="DY70" s="154">
        <f t="shared" si="107"/>
        <v>0</v>
      </c>
      <c r="DZ70" s="154">
        <f t="shared" si="108"/>
        <v>0</v>
      </c>
      <c r="EA70" s="154">
        <f t="shared" si="40"/>
        <v>0</v>
      </c>
      <c r="EB70" s="154">
        <f t="shared" si="109"/>
        <v>6492000</v>
      </c>
      <c r="EC70" s="326"/>
      <c r="ED70" s="201">
        <f t="shared" si="323"/>
        <v>0</v>
      </c>
      <c r="EE70" s="202">
        <f t="shared" si="128"/>
        <v>8656000</v>
      </c>
      <c r="EF70" s="202">
        <f t="shared" si="129"/>
        <v>0</v>
      </c>
      <c r="EG70" s="202">
        <f t="shared" si="130"/>
        <v>0</v>
      </c>
      <c r="EH70" s="202">
        <f t="shared" si="131"/>
        <v>0</v>
      </c>
      <c r="EI70" s="202">
        <f t="shared" si="132"/>
        <v>0</v>
      </c>
      <c r="EJ70" s="202">
        <f t="shared" si="133"/>
        <v>0</v>
      </c>
      <c r="EK70" s="202">
        <f t="shared" si="134"/>
        <v>0</v>
      </c>
      <c r="EL70" s="202">
        <f t="shared" si="135"/>
        <v>0</v>
      </c>
      <c r="EM70" s="203">
        <f t="shared" si="136"/>
        <v>0</v>
      </c>
      <c r="EN70" s="326" t="s">
        <v>327</v>
      </c>
      <c r="EO70" s="200">
        <f t="shared" si="324"/>
        <v>0</v>
      </c>
      <c r="EP70" s="154">
        <f t="shared" si="110"/>
        <v>0</v>
      </c>
      <c r="EQ70" s="154">
        <f t="shared" si="111"/>
        <v>0</v>
      </c>
      <c r="ER70" s="154">
        <f t="shared" si="112"/>
        <v>0</v>
      </c>
      <c r="ES70" s="154">
        <f t="shared" si="113"/>
        <v>0</v>
      </c>
      <c r="ET70" s="154">
        <f t="shared" si="114"/>
        <v>0</v>
      </c>
      <c r="EU70" s="154">
        <f t="shared" si="115"/>
        <v>0</v>
      </c>
      <c r="EV70" s="154">
        <f t="shared" si="116"/>
        <v>0</v>
      </c>
      <c r="EW70" s="154">
        <f t="shared" si="117"/>
        <v>0</v>
      </c>
      <c r="EX70" s="154">
        <f t="shared" si="118"/>
        <v>0</v>
      </c>
      <c r="EY70" s="154">
        <f t="shared" si="53"/>
        <v>0</v>
      </c>
      <c r="EZ70" s="154">
        <f t="shared" si="119"/>
        <v>0</v>
      </c>
      <c r="FA70" s="326"/>
      <c r="FB70" s="201">
        <f t="shared" si="325"/>
        <v>0</v>
      </c>
      <c r="FC70" s="202">
        <f t="shared" si="137"/>
        <v>0</v>
      </c>
      <c r="FD70" s="202">
        <f t="shared" si="138"/>
        <v>0</v>
      </c>
      <c r="FE70" s="202">
        <f t="shared" si="139"/>
        <v>0</v>
      </c>
      <c r="FF70" s="202">
        <f t="shared" si="140"/>
        <v>0</v>
      </c>
      <c r="FG70" s="202">
        <f t="shared" si="141"/>
        <v>0</v>
      </c>
      <c r="FH70" s="202">
        <f t="shared" si="142"/>
        <v>0</v>
      </c>
      <c r="FI70" s="202">
        <f t="shared" si="143"/>
        <v>0</v>
      </c>
      <c r="FJ70" s="202">
        <f t="shared" si="144"/>
        <v>0</v>
      </c>
      <c r="FK70" s="203">
        <f t="shared" si="145"/>
        <v>0</v>
      </c>
    </row>
    <row r="71" spans="1:167" s="10" customFormat="1">
      <c r="A71" s="240" t="s">
        <v>92</v>
      </c>
      <c r="B71" s="204" t="s">
        <v>376</v>
      </c>
      <c r="C71" s="509" t="s">
        <v>781</v>
      </c>
      <c r="D71" s="206">
        <f t="shared" si="56"/>
        <v>66</v>
      </c>
      <c r="E71" s="327" t="s">
        <v>327</v>
      </c>
      <c r="F71" s="485"/>
      <c r="G71" s="485"/>
      <c r="H71" s="485"/>
      <c r="I71" s="485">
        <v>1500000</v>
      </c>
      <c r="J71" s="485"/>
      <c r="K71" s="485"/>
      <c r="L71" s="293" t="s">
        <v>934</v>
      </c>
      <c r="M71" s="486" t="s">
        <v>935</v>
      </c>
      <c r="N71" s="327" t="s">
        <v>327</v>
      </c>
      <c r="O71" s="242"/>
      <c r="P71" s="242"/>
      <c r="Q71" s="242"/>
      <c r="R71" s="242"/>
      <c r="S71" s="241"/>
      <c r="T71" s="241"/>
      <c r="U71" s="290"/>
      <c r="V71" s="243"/>
      <c r="W71" s="326" t="s">
        <v>327</v>
      </c>
      <c r="X71" s="207"/>
      <c r="Y71" s="207"/>
      <c r="Z71" s="207"/>
      <c r="AA71" s="207"/>
      <c r="AB71" s="207"/>
      <c r="AC71" s="207"/>
      <c r="AD71" s="244">
        <v>2000000</v>
      </c>
      <c r="AE71" s="211" t="s">
        <v>647</v>
      </c>
      <c r="AF71" s="248" t="s">
        <v>327</v>
      </c>
      <c r="AG71" s="326" t="s">
        <v>327</v>
      </c>
      <c r="AH71" s="207"/>
      <c r="AI71" s="207"/>
      <c r="AJ71" s="207"/>
      <c r="AK71" s="207">
        <f>AD71</f>
        <v>2000000</v>
      </c>
      <c r="AL71" s="207"/>
      <c r="AM71" s="207"/>
      <c r="AN71" s="244">
        <f t="shared" si="317"/>
        <v>2000000</v>
      </c>
      <c r="AO71" s="211" t="str">
        <f>AE71</f>
        <v>Schirm, Jeffrey. Personal communication. Philips Electronics, Washington, DC. Phone call with Matthew Jones, D&amp;R International. December 15, 2008.</v>
      </c>
      <c r="AP71" s="248" t="s">
        <v>327</v>
      </c>
      <c r="AQ71" s="326" t="s">
        <v>327</v>
      </c>
      <c r="AR71" s="245" t="s">
        <v>775</v>
      </c>
      <c r="AS71" s="516">
        <v>0</v>
      </c>
      <c r="AT71" s="243"/>
      <c r="AU71" s="243"/>
      <c r="AV71" s="326" t="s">
        <v>327</v>
      </c>
      <c r="AW71" s="246">
        <v>0.5</v>
      </c>
      <c r="AX71" s="247">
        <v>1</v>
      </c>
      <c r="AY71" s="211" t="s">
        <v>417</v>
      </c>
      <c r="AZ71" s="243" t="s">
        <v>265</v>
      </c>
      <c r="BA71" s="211">
        <v>12</v>
      </c>
      <c r="BB71" s="211">
        <v>49.2</v>
      </c>
      <c r="BC71" s="211" t="s">
        <v>344</v>
      </c>
      <c r="BD71" s="243">
        <v>12</v>
      </c>
      <c r="BE71" s="243">
        <f>BD71*2.3</f>
        <v>27.599999999999998</v>
      </c>
      <c r="BF71" s="248" t="s">
        <v>345</v>
      </c>
      <c r="BG71" s="326" t="s">
        <v>327</v>
      </c>
      <c r="BH71" s="246">
        <v>0.25</v>
      </c>
      <c r="BI71" s="247">
        <v>1</v>
      </c>
      <c r="BJ71" s="211" t="s">
        <v>399</v>
      </c>
      <c r="BK71" s="243" t="s">
        <v>264</v>
      </c>
      <c r="BL71" s="243">
        <v>12</v>
      </c>
      <c r="BM71" s="211">
        <v>79.2</v>
      </c>
      <c r="BN71" s="243" t="s">
        <v>735</v>
      </c>
      <c r="BO71" s="243"/>
      <c r="BP71" s="243"/>
      <c r="BQ71" s="243"/>
      <c r="BR71" s="326" t="s">
        <v>327</v>
      </c>
      <c r="BS71" s="249">
        <v>1</v>
      </c>
      <c r="BT71" s="249">
        <v>0</v>
      </c>
      <c r="BU71" s="249">
        <v>0.7</v>
      </c>
      <c r="BV71" s="249">
        <v>0.3</v>
      </c>
      <c r="BW71" s="249">
        <v>0</v>
      </c>
      <c r="BX71" s="249">
        <v>0</v>
      </c>
      <c r="BY71" s="249">
        <v>0</v>
      </c>
      <c r="BZ71" s="249">
        <v>0</v>
      </c>
      <c r="CA71" s="249">
        <v>0</v>
      </c>
      <c r="CB71" s="249">
        <v>0</v>
      </c>
      <c r="CC71" s="249">
        <v>0</v>
      </c>
      <c r="CD71" s="250">
        <v>0</v>
      </c>
      <c r="CE71" s="251" t="s">
        <v>448</v>
      </c>
      <c r="CF71" s="326" t="s">
        <v>327</v>
      </c>
      <c r="CG71" s="377">
        <v>0</v>
      </c>
      <c r="CH71" s="378">
        <v>0</v>
      </c>
      <c r="CI71" s="378">
        <v>0</v>
      </c>
      <c r="CJ71" s="378">
        <v>1</v>
      </c>
      <c r="CK71" s="378">
        <v>0</v>
      </c>
      <c r="CL71" s="378">
        <v>0</v>
      </c>
      <c r="CM71" s="378">
        <v>0</v>
      </c>
      <c r="CN71" s="378">
        <v>0</v>
      </c>
      <c r="CO71" s="378">
        <v>0</v>
      </c>
      <c r="CP71" s="385">
        <v>0</v>
      </c>
      <c r="CQ71" s="251" t="s">
        <v>448</v>
      </c>
      <c r="CR71" s="326" t="s">
        <v>327</v>
      </c>
      <c r="CS71" s="218">
        <f t="shared" si="330"/>
        <v>1000000</v>
      </c>
      <c r="CT71" s="219">
        <f t="shared" si="331"/>
        <v>0</v>
      </c>
      <c r="CU71" s="219">
        <f t="shared" si="332"/>
        <v>700000</v>
      </c>
      <c r="CV71" s="219">
        <f t="shared" si="333"/>
        <v>300000</v>
      </c>
      <c r="CW71" s="219">
        <f t="shared" si="334"/>
        <v>0</v>
      </c>
      <c r="CX71" s="219">
        <f t="shared" si="335"/>
        <v>0</v>
      </c>
      <c r="CY71" s="219">
        <f t="shared" si="336"/>
        <v>0</v>
      </c>
      <c r="CZ71" s="219">
        <f t="shared" si="337"/>
        <v>0</v>
      </c>
      <c r="DA71" s="219">
        <f t="shared" si="338"/>
        <v>0</v>
      </c>
      <c r="DB71" s="219">
        <f t="shared" si="339"/>
        <v>0</v>
      </c>
      <c r="DC71" s="219">
        <f t="shared" si="340"/>
        <v>0</v>
      </c>
      <c r="DD71" s="219">
        <f t="shared" si="341"/>
        <v>0</v>
      </c>
      <c r="DE71" s="326"/>
      <c r="DF71" s="220">
        <f t="shared" si="342"/>
        <v>0</v>
      </c>
      <c r="DG71" s="221">
        <f t="shared" si="343"/>
        <v>0</v>
      </c>
      <c r="DH71" s="221">
        <f t="shared" si="344"/>
        <v>0</v>
      </c>
      <c r="DI71" s="221">
        <f t="shared" si="345"/>
        <v>500000</v>
      </c>
      <c r="DJ71" s="221">
        <f t="shared" si="346"/>
        <v>0</v>
      </c>
      <c r="DK71" s="221">
        <f t="shared" si="347"/>
        <v>0</v>
      </c>
      <c r="DL71" s="221">
        <f t="shared" si="348"/>
        <v>0</v>
      </c>
      <c r="DM71" s="221">
        <f t="shared" si="349"/>
        <v>0</v>
      </c>
      <c r="DN71" s="221">
        <f t="shared" si="350"/>
        <v>0</v>
      </c>
      <c r="DO71" s="222">
        <f t="shared" si="351"/>
        <v>0</v>
      </c>
      <c r="DP71" s="326" t="s">
        <v>327</v>
      </c>
      <c r="DQ71" s="218">
        <f t="shared" si="322"/>
        <v>1000000</v>
      </c>
      <c r="DR71" s="219">
        <f t="shared" si="100"/>
        <v>0</v>
      </c>
      <c r="DS71" s="219">
        <f t="shared" si="101"/>
        <v>700000</v>
      </c>
      <c r="DT71" s="219">
        <f t="shared" si="102"/>
        <v>300000</v>
      </c>
      <c r="DU71" s="219">
        <f t="shared" si="103"/>
        <v>0</v>
      </c>
      <c r="DV71" s="219">
        <f t="shared" si="104"/>
        <v>0</v>
      </c>
      <c r="DW71" s="219">
        <f t="shared" si="105"/>
        <v>0</v>
      </c>
      <c r="DX71" s="219">
        <f t="shared" si="106"/>
        <v>0</v>
      </c>
      <c r="DY71" s="219">
        <f t="shared" si="107"/>
        <v>0</v>
      </c>
      <c r="DZ71" s="219">
        <f t="shared" si="108"/>
        <v>0</v>
      </c>
      <c r="EA71" s="219">
        <f t="shared" ref="EA71:EA84" si="352">DC71*(1-$AS71)</f>
        <v>0</v>
      </c>
      <c r="EB71" s="219">
        <f t="shared" si="109"/>
        <v>0</v>
      </c>
      <c r="EC71" s="326"/>
      <c r="ED71" s="220">
        <f t="shared" si="323"/>
        <v>0</v>
      </c>
      <c r="EE71" s="221">
        <f t="shared" si="128"/>
        <v>0</v>
      </c>
      <c r="EF71" s="221">
        <f t="shared" si="129"/>
        <v>0</v>
      </c>
      <c r="EG71" s="221">
        <f t="shared" si="130"/>
        <v>500000</v>
      </c>
      <c r="EH71" s="221">
        <f t="shared" si="131"/>
        <v>0</v>
      </c>
      <c r="EI71" s="221">
        <f t="shared" si="132"/>
        <v>0</v>
      </c>
      <c r="EJ71" s="221">
        <f t="shared" si="133"/>
        <v>0</v>
      </c>
      <c r="EK71" s="221">
        <f t="shared" si="134"/>
        <v>0</v>
      </c>
      <c r="EL71" s="221">
        <f t="shared" si="135"/>
        <v>0</v>
      </c>
      <c r="EM71" s="222">
        <f t="shared" si="136"/>
        <v>0</v>
      </c>
      <c r="EN71" s="326" t="s">
        <v>327</v>
      </c>
      <c r="EO71" s="218">
        <f t="shared" si="324"/>
        <v>0</v>
      </c>
      <c r="EP71" s="219">
        <f t="shared" si="110"/>
        <v>0</v>
      </c>
      <c r="EQ71" s="219">
        <f t="shared" si="111"/>
        <v>0</v>
      </c>
      <c r="ER71" s="219">
        <f t="shared" si="112"/>
        <v>0</v>
      </c>
      <c r="ES71" s="219">
        <f t="shared" si="113"/>
        <v>0</v>
      </c>
      <c r="ET71" s="219">
        <f t="shared" si="114"/>
        <v>0</v>
      </c>
      <c r="EU71" s="219">
        <f t="shared" si="115"/>
        <v>0</v>
      </c>
      <c r="EV71" s="219">
        <f t="shared" si="116"/>
        <v>0</v>
      </c>
      <c r="EW71" s="219">
        <f t="shared" si="117"/>
        <v>0</v>
      </c>
      <c r="EX71" s="219">
        <f t="shared" si="118"/>
        <v>0</v>
      </c>
      <c r="EY71" s="219">
        <f t="shared" ref="EY71:EY84" si="353">DC71*$AS71</f>
        <v>0</v>
      </c>
      <c r="EZ71" s="219">
        <f t="shared" si="119"/>
        <v>0</v>
      </c>
      <c r="FA71" s="326"/>
      <c r="FB71" s="220">
        <f t="shared" si="325"/>
        <v>0</v>
      </c>
      <c r="FC71" s="221">
        <f t="shared" si="137"/>
        <v>0</v>
      </c>
      <c r="FD71" s="221">
        <f t="shared" si="138"/>
        <v>0</v>
      </c>
      <c r="FE71" s="221">
        <f t="shared" si="139"/>
        <v>0</v>
      </c>
      <c r="FF71" s="221">
        <f t="shared" si="140"/>
        <v>0</v>
      </c>
      <c r="FG71" s="221">
        <f t="shared" si="141"/>
        <v>0</v>
      </c>
      <c r="FH71" s="221">
        <f t="shared" si="142"/>
        <v>0</v>
      </c>
      <c r="FI71" s="221">
        <f t="shared" si="143"/>
        <v>0</v>
      </c>
      <c r="FJ71" s="221">
        <f t="shared" si="144"/>
        <v>0</v>
      </c>
      <c r="FK71" s="222">
        <f t="shared" si="145"/>
        <v>0</v>
      </c>
    </row>
    <row r="72" spans="1:167" s="6" customFormat="1">
      <c r="A72" s="186" t="s">
        <v>92</v>
      </c>
      <c r="B72" s="186" t="s">
        <v>376</v>
      </c>
      <c r="C72" s="508" t="s">
        <v>782</v>
      </c>
      <c r="D72" s="188">
        <f t="shared" ref="D72:D84" si="354">D71+1</f>
        <v>67</v>
      </c>
      <c r="E72" s="327" t="s">
        <v>327</v>
      </c>
      <c r="F72" s="154"/>
      <c r="G72" s="154"/>
      <c r="H72" s="154"/>
      <c r="I72" s="154"/>
      <c r="J72" s="154"/>
      <c r="K72" s="154"/>
      <c r="L72" s="156"/>
      <c r="M72" s="478"/>
      <c r="N72" s="327" t="s">
        <v>327</v>
      </c>
      <c r="O72" s="191"/>
      <c r="P72" s="191"/>
      <c r="Q72" s="191"/>
      <c r="R72" s="191"/>
      <c r="S72" s="189"/>
      <c r="T72" s="189"/>
      <c r="U72" s="193"/>
      <c r="V72" s="193"/>
      <c r="W72" s="326" t="s">
        <v>327</v>
      </c>
      <c r="X72" s="189"/>
      <c r="Y72" s="189"/>
      <c r="Z72" s="189"/>
      <c r="AA72" s="189"/>
      <c r="AB72" s="189"/>
      <c r="AC72" s="189"/>
      <c r="AD72" s="189">
        <v>3000000</v>
      </c>
      <c r="AE72" s="189" t="s">
        <v>843</v>
      </c>
      <c r="AF72" s="255" t="s">
        <v>393</v>
      </c>
      <c r="AG72" s="326" t="s">
        <v>327</v>
      </c>
      <c r="AH72" s="189"/>
      <c r="AI72" s="189"/>
      <c r="AJ72" s="189"/>
      <c r="AK72" s="189">
        <f t="shared" ref="AK72:AK74" si="355">AD72</f>
        <v>3000000</v>
      </c>
      <c r="AL72" s="189"/>
      <c r="AM72" s="189"/>
      <c r="AN72" s="189">
        <f t="shared" ref="AN72:AN74" si="356">AK72</f>
        <v>3000000</v>
      </c>
      <c r="AO72" s="189" t="str">
        <f t="shared" ref="AO72:AO74" si="357">AE72</f>
        <v>DOE estimate</v>
      </c>
      <c r="AP72" s="255" t="str">
        <f>AF72</f>
        <v>Based on prevalence of Asthma and COPD in US population</v>
      </c>
      <c r="AQ72" s="326" t="s">
        <v>327</v>
      </c>
      <c r="AR72" s="194" t="s">
        <v>775</v>
      </c>
      <c r="AS72" s="511">
        <v>0</v>
      </c>
      <c r="AT72" s="193"/>
      <c r="AU72" s="193"/>
      <c r="AV72" s="326" t="s">
        <v>327</v>
      </c>
      <c r="AW72" s="195">
        <v>0.3</v>
      </c>
      <c r="AX72" s="196">
        <v>1</v>
      </c>
      <c r="AY72" s="192" t="s">
        <v>259</v>
      </c>
      <c r="AZ72" s="193"/>
      <c r="BA72" s="193">
        <v>12</v>
      </c>
      <c r="BB72" s="193">
        <v>15</v>
      </c>
      <c r="BC72" s="193" t="s">
        <v>952</v>
      </c>
      <c r="BD72" s="193"/>
      <c r="BE72" s="193"/>
      <c r="BF72" s="197"/>
      <c r="BG72" s="326" t="s">
        <v>327</v>
      </c>
      <c r="BH72" s="195">
        <v>0.15</v>
      </c>
      <c r="BI72" s="196">
        <v>1</v>
      </c>
      <c r="BJ72" s="193" t="s">
        <v>262</v>
      </c>
      <c r="BK72" s="193"/>
      <c r="BL72" s="193">
        <v>12</v>
      </c>
      <c r="BM72" s="193"/>
      <c r="BN72" s="193" t="s">
        <v>346</v>
      </c>
      <c r="BO72" s="193"/>
      <c r="BP72" s="193"/>
      <c r="BQ72" s="193"/>
      <c r="BR72" s="326" t="s">
        <v>327</v>
      </c>
      <c r="BS72" s="198">
        <v>1</v>
      </c>
      <c r="BT72" s="198">
        <v>0</v>
      </c>
      <c r="BU72" s="198">
        <v>1</v>
      </c>
      <c r="BV72" s="198">
        <v>0</v>
      </c>
      <c r="BW72" s="198">
        <v>0</v>
      </c>
      <c r="BX72" s="198">
        <v>0</v>
      </c>
      <c r="BY72" s="198">
        <v>0</v>
      </c>
      <c r="BZ72" s="198">
        <v>0</v>
      </c>
      <c r="CA72" s="198">
        <v>0</v>
      </c>
      <c r="CB72" s="198">
        <v>0</v>
      </c>
      <c r="CC72" s="198">
        <v>0</v>
      </c>
      <c r="CD72" s="199">
        <v>0</v>
      </c>
      <c r="CE72" s="193" t="s">
        <v>347</v>
      </c>
      <c r="CF72" s="326" t="s">
        <v>327</v>
      </c>
      <c r="CG72" s="379">
        <v>0</v>
      </c>
      <c r="CH72" s="380">
        <v>0</v>
      </c>
      <c r="CI72" s="380">
        <v>0</v>
      </c>
      <c r="CJ72" s="380">
        <v>0.9</v>
      </c>
      <c r="CK72" s="380">
        <v>0</v>
      </c>
      <c r="CL72" s="380">
        <v>0</v>
      </c>
      <c r="CM72" s="380">
        <v>0</v>
      </c>
      <c r="CN72" s="380">
        <v>0</v>
      </c>
      <c r="CO72" s="380">
        <v>0.1</v>
      </c>
      <c r="CP72" s="386">
        <v>0</v>
      </c>
      <c r="CQ72" s="193" t="s">
        <v>347</v>
      </c>
      <c r="CR72" s="326" t="s">
        <v>327</v>
      </c>
      <c r="CS72" s="200">
        <f t="shared" si="330"/>
        <v>900000</v>
      </c>
      <c r="CT72" s="154">
        <f t="shared" si="331"/>
        <v>0</v>
      </c>
      <c r="CU72" s="154">
        <f t="shared" si="332"/>
        <v>900000</v>
      </c>
      <c r="CV72" s="154">
        <f t="shared" si="333"/>
        <v>0</v>
      </c>
      <c r="CW72" s="154">
        <f t="shared" si="334"/>
        <v>0</v>
      </c>
      <c r="CX72" s="154">
        <f t="shared" si="335"/>
        <v>0</v>
      </c>
      <c r="CY72" s="154">
        <f t="shared" si="336"/>
        <v>0</v>
      </c>
      <c r="CZ72" s="154">
        <f t="shared" si="337"/>
        <v>0</v>
      </c>
      <c r="DA72" s="154">
        <f t="shared" si="338"/>
        <v>0</v>
      </c>
      <c r="DB72" s="154">
        <f t="shared" si="339"/>
        <v>0</v>
      </c>
      <c r="DC72" s="154">
        <f t="shared" si="340"/>
        <v>0</v>
      </c>
      <c r="DD72" s="154">
        <f t="shared" si="341"/>
        <v>0</v>
      </c>
      <c r="DE72" s="326"/>
      <c r="DF72" s="201">
        <f t="shared" si="342"/>
        <v>0</v>
      </c>
      <c r="DG72" s="202">
        <f t="shared" si="343"/>
        <v>0</v>
      </c>
      <c r="DH72" s="202">
        <f t="shared" si="344"/>
        <v>0</v>
      </c>
      <c r="DI72" s="202">
        <f t="shared" si="345"/>
        <v>405000</v>
      </c>
      <c r="DJ72" s="202">
        <f t="shared" si="346"/>
        <v>0</v>
      </c>
      <c r="DK72" s="202">
        <f t="shared" si="347"/>
        <v>0</v>
      </c>
      <c r="DL72" s="202">
        <f t="shared" si="348"/>
        <v>0</v>
      </c>
      <c r="DM72" s="202">
        <f t="shared" si="349"/>
        <v>0</v>
      </c>
      <c r="DN72" s="202">
        <f t="shared" si="350"/>
        <v>45000</v>
      </c>
      <c r="DO72" s="203">
        <f t="shared" si="351"/>
        <v>0</v>
      </c>
      <c r="DP72" s="326" t="s">
        <v>327</v>
      </c>
      <c r="DQ72" s="200">
        <f t="shared" si="322"/>
        <v>900000</v>
      </c>
      <c r="DR72" s="154">
        <f t="shared" si="100"/>
        <v>0</v>
      </c>
      <c r="DS72" s="154">
        <f t="shared" si="101"/>
        <v>900000</v>
      </c>
      <c r="DT72" s="154">
        <f t="shared" si="102"/>
        <v>0</v>
      </c>
      <c r="DU72" s="154">
        <f t="shared" si="103"/>
        <v>0</v>
      </c>
      <c r="DV72" s="154">
        <f t="shared" si="104"/>
        <v>0</v>
      </c>
      <c r="DW72" s="154">
        <f t="shared" si="105"/>
        <v>0</v>
      </c>
      <c r="DX72" s="154">
        <f t="shared" si="106"/>
        <v>0</v>
      </c>
      <c r="DY72" s="154">
        <f t="shared" si="107"/>
        <v>0</v>
      </c>
      <c r="DZ72" s="154">
        <f t="shared" si="108"/>
        <v>0</v>
      </c>
      <c r="EA72" s="154">
        <f t="shared" si="352"/>
        <v>0</v>
      </c>
      <c r="EB72" s="154">
        <f t="shared" si="109"/>
        <v>0</v>
      </c>
      <c r="EC72" s="326"/>
      <c r="ED72" s="201">
        <f t="shared" si="323"/>
        <v>0</v>
      </c>
      <c r="EE72" s="202">
        <f t="shared" si="128"/>
        <v>0</v>
      </c>
      <c r="EF72" s="202">
        <f t="shared" si="129"/>
        <v>0</v>
      </c>
      <c r="EG72" s="202">
        <f t="shared" si="130"/>
        <v>405000</v>
      </c>
      <c r="EH72" s="202">
        <f t="shared" si="131"/>
        <v>0</v>
      </c>
      <c r="EI72" s="202">
        <f t="shared" si="132"/>
        <v>0</v>
      </c>
      <c r="EJ72" s="202">
        <f t="shared" si="133"/>
        <v>0</v>
      </c>
      <c r="EK72" s="202">
        <f t="shared" si="134"/>
        <v>0</v>
      </c>
      <c r="EL72" s="202">
        <f t="shared" si="135"/>
        <v>45000</v>
      </c>
      <c r="EM72" s="203">
        <f t="shared" si="136"/>
        <v>0</v>
      </c>
      <c r="EN72" s="326" t="s">
        <v>327</v>
      </c>
      <c r="EO72" s="200">
        <f t="shared" si="324"/>
        <v>0</v>
      </c>
      <c r="EP72" s="154">
        <f t="shared" si="110"/>
        <v>0</v>
      </c>
      <c r="EQ72" s="154">
        <f t="shared" si="111"/>
        <v>0</v>
      </c>
      <c r="ER72" s="154">
        <f t="shared" si="112"/>
        <v>0</v>
      </c>
      <c r="ES72" s="154">
        <f t="shared" si="113"/>
        <v>0</v>
      </c>
      <c r="ET72" s="154">
        <f t="shared" si="114"/>
        <v>0</v>
      </c>
      <c r="EU72" s="154">
        <f t="shared" si="115"/>
        <v>0</v>
      </c>
      <c r="EV72" s="154">
        <f t="shared" si="116"/>
        <v>0</v>
      </c>
      <c r="EW72" s="154">
        <f t="shared" si="117"/>
        <v>0</v>
      </c>
      <c r="EX72" s="154">
        <f t="shared" si="118"/>
        <v>0</v>
      </c>
      <c r="EY72" s="154">
        <f t="shared" si="353"/>
        <v>0</v>
      </c>
      <c r="EZ72" s="154">
        <f t="shared" si="119"/>
        <v>0</v>
      </c>
      <c r="FA72" s="326"/>
      <c r="FB72" s="201">
        <f t="shared" si="325"/>
        <v>0</v>
      </c>
      <c r="FC72" s="202">
        <f t="shared" si="137"/>
        <v>0</v>
      </c>
      <c r="FD72" s="202">
        <f t="shared" si="138"/>
        <v>0</v>
      </c>
      <c r="FE72" s="202">
        <f t="shared" si="139"/>
        <v>0</v>
      </c>
      <c r="FF72" s="202">
        <f t="shared" si="140"/>
        <v>0</v>
      </c>
      <c r="FG72" s="202">
        <f t="shared" si="141"/>
        <v>0</v>
      </c>
      <c r="FH72" s="202">
        <f t="shared" si="142"/>
        <v>0</v>
      </c>
      <c r="FI72" s="202">
        <f t="shared" si="143"/>
        <v>0</v>
      </c>
      <c r="FJ72" s="202">
        <f t="shared" si="144"/>
        <v>0</v>
      </c>
      <c r="FK72" s="203">
        <f t="shared" si="145"/>
        <v>0</v>
      </c>
    </row>
    <row r="73" spans="1:167" s="6" customFormat="1">
      <c r="A73" s="204" t="s">
        <v>92</v>
      </c>
      <c r="B73" s="204" t="s">
        <v>376</v>
      </c>
      <c r="C73" s="509" t="s">
        <v>783</v>
      </c>
      <c r="D73" s="206">
        <f t="shared" si="354"/>
        <v>68</v>
      </c>
      <c r="E73" s="327" t="s">
        <v>327</v>
      </c>
      <c r="F73" s="219"/>
      <c r="G73" s="219"/>
      <c r="H73" s="219"/>
      <c r="I73" s="219"/>
      <c r="J73" s="219"/>
      <c r="K73" s="219"/>
      <c r="L73" s="479"/>
      <c r="M73" s="480"/>
      <c r="N73" s="327" t="s">
        <v>327</v>
      </c>
      <c r="O73" s="209"/>
      <c r="P73" s="209"/>
      <c r="Q73" s="209"/>
      <c r="R73" s="209"/>
      <c r="S73" s="207"/>
      <c r="T73" s="207"/>
      <c r="U73" s="211"/>
      <c r="V73" s="211"/>
      <c r="W73" s="326" t="s">
        <v>327</v>
      </c>
      <c r="X73" s="207"/>
      <c r="Y73" s="207"/>
      <c r="Z73" s="207"/>
      <c r="AA73" s="207"/>
      <c r="AB73" s="207"/>
      <c r="AC73" s="207"/>
      <c r="AD73" s="207">
        <v>9000</v>
      </c>
      <c r="AE73" s="207" t="s">
        <v>843</v>
      </c>
      <c r="AF73" s="207" t="s">
        <v>394</v>
      </c>
      <c r="AG73" s="326" t="s">
        <v>327</v>
      </c>
      <c r="AH73" s="207"/>
      <c r="AI73" s="207"/>
      <c r="AJ73" s="207"/>
      <c r="AK73" s="207">
        <f t="shared" si="355"/>
        <v>9000</v>
      </c>
      <c r="AL73" s="207"/>
      <c r="AM73" s="207"/>
      <c r="AN73" s="207">
        <f t="shared" si="356"/>
        <v>9000</v>
      </c>
      <c r="AO73" s="207" t="str">
        <f t="shared" si="357"/>
        <v>DOE estimate</v>
      </c>
      <c r="AP73" s="211" t="str">
        <f t="shared" ref="AP73:AP74" si="358">AF73</f>
        <v>Estimate. Based on Sequal press release dated Feb 15, 2008 that stated total 2007 shipments to be 10,000 units. Assume US shipments were 80% of total. Increase growth by Darnell estimate for medical EPS (11.4%)</v>
      </c>
      <c r="AQ73" s="326" t="s">
        <v>327</v>
      </c>
      <c r="AR73" s="212" t="s">
        <v>775</v>
      </c>
      <c r="AS73" s="512">
        <v>0</v>
      </c>
      <c r="AT73" s="211"/>
      <c r="AU73" s="211"/>
      <c r="AV73" s="326" t="s">
        <v>327</v>
      </c>
      <c r="AW73" s="213">
        <v>1</v>
      </c>
      <c r="AX73" s="214">
        <v>1</v>
      </c>
      <c r="AY73" s="211" t="s">
        <v>418</v>
      </c>
      <c r="AZ73" s="211"/>
      <c r="BA73" s="211">
        <v>28</v>
      </c>
      <c r="BB73" s="211">
        <v>200</v>
      </c>
      <c r="BC73" s="211" t="s">
        <v>323</v>
      </c>
      <c r="BD73" s="211">
        <v>26</v>
      </c>
      <c r="BE73" s="211">
        <v>150</v>
      </c>
      <c r="BF73" s="215" t="s">
        <v>324</v>
      </c>
      <c r="BG73" s="326" t="s">
        <v>327</v>
      </c>
      <c r="BH73" s="213">
        <v>1</v>
      </c>
      <c r="BI73" s="214">
        <v>1</v>
      </c>
      <c r="BJ73" s="211" t="s">
        <v>409</v>
      </c>
      <c r="BK73" s="211"/>
      <c r="BL73" s="211"/>
      <c r="BM73" s="211">
        <v>195</v>
      </c>
      <c r="BN73" s="211" t="s">
        <v>325</v>
      </c>
      <c r="BO73" s="211"/>
      <c r="BP73" s="211"/>
      <c r="BQ73" s="211"/>
      <c r="BR73" s="326" t="s">
        <v>327</v>
      </c>
      <c r="BS73" s="216">
        <v>1</v>
      </c>
      <c r="BT73" s="216">
        <v>0</v>
      </c>
      <c r="BU73" s="216">
        <v>0</v>
      </c>
      <c r="BV73" s="216">
        <v>0</v>
      </c>
      <c r="BW73" s="216">
        <v>1</v>
      </c>
      <c r="BX73" s="216">
        <v>0</v>
      </c>
      <c r="BY73" s="216">
        <v>0</v>
      </c>
      <c r="BZ73" s="216">
        <v>0</v>
      </c>
      <c r="CA73" s="216">
        <v>0</v>
      </c>
      <c r="CB73" s="216">
        <v>0</v>
      </c>
      <c r="CC73" s="216">
        <v>0</v>
      </c>
      <c r="CD73" s="217">
        <v>0</v>
      </c>
      <c r="CE73" s="211" t="s">
        <v>449</v>
      </c>
      <c r="CF73" s="326" t="s">
        <v>327</v>
      </c>
      <c r="CG73" s="377">
        <v>0</v>
      </c>
      <c r="CH73" s="378">
        <v>0</v>
      </c>
      <c r="CI73" s="378">
        <v>0</v>
      </c>
      <c r="CJ73" s="378">
        <v>0</v>
      </c>
      <c r="CK73" s="378">
        <v>0.5</v>
      </c>
      <c r="CL73" s="378">
        <v>0</v>
      </c>
      <c r="CM73" s="378">
        <v>0</v>
      </c>
      <c r="CN73" s="378">
        <v>0</v>
      </c>
      <c r="CO73" s="378">
        <v>0.5</v>
      </c>
      <c r="CP73" s="385">
        <v>0</v>
      </c>
      <c r="CQ73" s="211" t="s">
        <v>449</v>
      </c>
      <c r="CR73" s="326" t="s">
        <v>327</v>
      </c>
      <c r="CS73" s="218">
        <f t="shared" si="330"/>
        <v>9000</v>
      </c>
      <c r="CT73" s="219">
        <f t="shared" si="331"/>
        <v>0</v>
      </c>
      <c r="CU73" s="219">
        <f t="shared" si="332"/>
        <v>0</v>
      </c>
      <c r="CV73" s="219">
        <f t="shared" si="333"/>
        <v>0</v>
      </c>
      <c r="CW73" s="219">
        <f t="shared" si="334"/>
        <v>9000</v>
      </c>
      <c r="CX73" s="219">
        <f t="shared" si="335"/>
        <v>0</v>
      </c>
      <c r="CY73" s="219">
        <f t="shared" si="336"/>
        <v>0</v>
      </c>
      <c r="CZ73" s="219">
        <f t="shared" si="337"/>
        <v>0</v>
      </c>
      <c r="DA73" s="219">
        <f t="shared" si="338"/>
        <v>0</v>
      </c>
      <c r="DB73" s="219">
        <f t="shared" si="339"/>
        <v>0</v>
      </c>
      <c r="DC73" s="219">
        <f t="shared" si="340"/>
        <v>0</v>
      </c>
      <c r="DD73" s="219">
        <f t="shared" si="341"/>
        <v>0</v>
      </c>
      <c r="DE73" s="326"/>
      <c r="DF73" s="220">
        <f t="shared" si="342"/>
        <v>0</v>
      </c>
      <c r="DG73" s="221">
        <f t="shared" si="343"/>
        <v>0</v>
      </c>
      <c r="DH73" s="221">
        <f t="shared" si="344"/>
        <v>0</v>
      </c>
      <c r="DI73" s="221">
        <f t="shared" si="345"/>
        <v>0</v>
      </c>
      <c r="DJ73" s="221">
        <f t="shared" si="346"/>
        <v>4500</v>
      </c>
      <c r="DK73" s="221">
        <f t="shared" si="347"/>
        <v>0</v>
      </c>
      <c r="DL73" s="221">
        <f t="shared" si="348"/>
        <v>0</v>
      </c>
      <c r="DM73" s="221">
        <f t="shared" si="349"/>
        <v>0</v>
      </c>
      <c r="DN73" s="221">
        <f t="shared" si="350"/>
        <v>4500</v>
      </c>
      <c r="DO73" s="222">
        <f t="shared" si="351"/>
        <v>0</v>
      </c>
      <c r="DP73" s="326" t="s">
        <v>327</v>
      </c>
      <c r="DQ73" s="218">
        <f t="shared" si="322"/>
        <v>9000</v>
      </c>
      <c r="DR73" s="219">
        <f t="shared" si="100"/>
        <v>0</v>
      </c>
      <c r="DS73" s="219">
        <f t="shared" si="101"/>
        <v>0</v>
      </c>
      <c r="DT73" s="219">
        <f t="shared" si="102"/>
        <v>0</v>
      </c>
      <c r="DU73" s="219">
        <f t="shared" si="103"/>
        <v>9000</v>
      </c>
      <c r="DV73" s="219">
        <f t="shared" si="104"/>
        <v>0</v>
      </c>
      <c r="DW73" s="219">
        <f t="shared" si="105"/>
        <v>0</v>
      </c>
      <c r="DX73" s="219">
        <f t="shared" si="106"/>
        <v>0</v>
      </c>
      <c r="DY73" s="219">
        <f t="shared" si="107"/>
        <v>0</v>
      </c>
      <c r="DZ73" s="219">
        <f t="shared" si="108"/>
        <v>0</v>
      </c>
      <c r="EA73" s="219">
        <f t="shared" si="352"/>
        <v>0</v>
      </c>
      <c r="EB73" s="219">
        <f t="shared" si="109"/>
        <v>0</v>
      </c>
      <c r="EC73" s="326"/>
      <c r="ED73" s="220">
        <f t="shared" si="323"/>
        <v>0</v>
      </c>
      <c r="EE73" s="221">
        <f t="shared" si="128"/>
        <v>0</v>
      </c>
      <c r="EF73" s="221">
        <f t="shared" si="129"/>
        <v>0</v>
      </c>
      <c r="EG73" s="221">
        <f t="shared" si="130"/>
        <v>0</v>
      </c>
      <c r="EH73" s="221">
        <f t="shared" si="131"/>
        <v>4500</v>
      </c>
      <c r="EI73" s="221">
        <f t="shared" si="132"/>
        <v>0</v>
      </c>
      <c r="EJ73" s="221">
        <f t="shared" si="133"/>
        <v>0</v>
      </c>
      <c r="EK73" s="221">
        <f t="shared" si="134"/>
        <v>0</v>
      </c>
      <c r="EL73" s="221">
        <f t="shared" si="135"/>
        <v>4500</v>
      </c>
      <c r="EM73" s="222">
        <f t="shared" si="136"/>
        <v>0</v>
      </c>
      <c r="EN73" s="326" t="s">
        <v>327</v>
      </c>
      <c r="EO73" s="218">
        <f t="shared" si="324"/>
        <v>0</v>
      </c>
      <c r="EP73" s="219">
        <f t="shared" si="110"/>
        <v>0</v>
      </c>
      <c r="EQ73" s="219">
        <f t="shared" si="111"/>
        <v>0</v>
      </c>
      <c r="ER73" s="219">
        <f t="shared" si="112"/>
        <v>0</v>
      </c>
      <c r="ES73" s="219">
        <f t="shared" si="113"/>
        <v>0</v>
      </c>
      <c r="ET73" s="219">
        <f t="shared" si="114"/>
        <v>0</v>
      </c>
      <c r="EU73" s="219">
        <f t="shared" si="115"/>
        <v>0</v>
      </c>
      <c r="EV73" s="219">
        <f t="shared" si="116"/>
        <v>0</v>
      </c>
      <c r="EW73" s="219">
        <f t="shared" si="117"/>
        <v>0</v>
      </c>
      <c r="EX73" s="219">
        <f t="shared" si="118"/>
        <v>0</v>
      </c>
      <c r="EY73" s="219">
        <f t="shared" si="353"/>
        <v>0</v>
      </c>
      <c r="EZ73" s="219">
        <f t="shared" si="119"/>
        <v>0</v>
      </c>
      <c r="FA73" s="326"/>
      <c r="FB73" s="220">
        <f t="shared" si="325"/>
        <v>0</v>
      </c>
      <c r="FC73" s="221">
        <f t="shared" si="137"/>
        <v>0</v>
      </c>
      <c r="FD73" s="221">
        <f t="shared" si="138"/>
        <v>0</v>
      </c>
      <c r="FE73" s="221">
        <f t="shared" si="139"/>
        <v>0</v>
      </c>
      <c r="FF73" s="221">
        <f t="shared" si="140"/>
        <v>0</v>
      </c>
      <c r="FG73" s="221">
        <f t="shared" si="141"/>
        <v>0</v>
      </c>
      <c r="FH73" s="221">
        <f t="shared" si="142"/>
        <v>0</v>
      </c>
      <c r="FI73" s="221">
        <f t="shared" si="143"/>
        <v>0</v>
      </c>
      <c r="FJ73" s="221">
        <f t="shared" si="144"/>
        <v>0</v>
      </c>
      <c r="FK73" s="222">
        <f t="shared" si="145"/>
        <v>0</v>
      </c>
    </row>
    <row r="74" spans="1:167" s="6" customFormat="1">
      <c r="A74" s="256" t="s">
        <v>92</v>
      </c>
      <c r="B74" s="256" t="s">
        <v>376</v>
      </c>
      <c r="C74" s="257" t="s">
        <v>625</v>
      </c>
      <c r="D74" s="258">
        <f t="shared" si="354"/>
        <v>69</v>
      </c>
      <c r="E74" s="327" t="s">
        <v>327</v>
      </c>
      <c r="F74" s="267"/>
      <c r="G74" s="268"/>
      <c r="H74" s="268"/>
      <c r="I74" s="268"/>
      <c r="J74" s="268"/>
      <c r="K74" s="268"/>
      <c r="L74" s="422"/>
      <c r="M74" s="482"/>
      <c r="N74" s="327" t="s">
        <v>327</v>
      </c>
      <c r="O74" s="423"/>
      <c r="P74" s="274"/>
      <c r="Q74" s="274"/>
      <c r="R74" s="274"/>
      <c r="S74" s="259"/>
      <c r="T74" s="259"/>
      <c r="U74" s="260"/>
      <c r="V74" s="264"/>
      <c r="W74" s="326" t="s">
        <v>327</v>
      </c>
      <c r="X74" s="421"/>
      <c r="Y74" s="259"/>
      <c r="Z74" s="259"/>
      <c r="AA74" s="259"/>
      <c r="AB74" s="259"/>
      <c r="AC74" s="259"/>
      <c r="AD74" s="259">
        <v>100000</v>
      </c>
      <c r="AE74" s="259" t="s">
        <v>843</v>
      </c>
      <c r="AF74" s="424" t="s">
        <v>907</v>
      </c>
      <c r="AG74" s="326" t="s">
        <v>327</v>
      </c>
      <c r="AH74" s="421"/>
      <c r="AI74" s="259"/>
      <c r="AJ74" s="259"/>
      <c r="AK74" s="259">
        <f t="shared" si="355"/>
        <v>100000</v>
      </c>
      <c r="AL74" s="259"/>
      <c r="AM74" s="259"/>
      <c r="AN74" s="259">
        <f t="shared" si="356"/>
        <v>100000</v>
      </c>
      <c r="AO74" s="259" t="str">
        <f t="shared" si="357"/>
        <v>DOE estimate</v>
      </c>
      <c r="AP74" s="424" t="str">
        <f t="shared" si="358"/>
        <v>Unverified</v>
      </c>
      <c r="AQ74" s="326" t="s">
        <v>327</v>
      </c>
      <c r="AR74" s="442" t="s">
        <v>775</v>
      </c>
      <c r="AS74" s="515">
        <v>0</v>
      </c>
      <c r="AT74" s="260"/>
      <c r="AU74" s="264"/>
      <c r="AV74" s="326" t="s">
        <v>327</v>
      </c>
      <c r="AW74" s="448">
        <v>1</v>
      </c>
      <c r="AX74" s="263">
        <v>1</v>
      </c>
      <c r="AY74" s="519" t="s">
        <v>272</v>
      </c>
      <c r="AZ74" s="519" t="s">
        <v>813</v>
      </c>
      <c r="BA74" s="260">
        <v>6</v>
      </c>
      <c r="BB74" s="260">
        <v>3</v>
      </c>
      <c r="BC74" s="519" t="s">
        <v>272</v>
      </c>
      <c r="BD74" s="260"/>
      <c r="BE74" s="260"/>
      <c r="BF74" s="264"/>
      <c r="BG74" s="326" t="s">
        <v>327</v>
      </c>
      <c r="BH74" s="448">
        <v>0</v>
      </c>
      <c r="BI74" s="263">
        <v>0</v>
      </c>
      <c r="BJ74" s="260" t="s">
        <v>249</v>
      </c>
      <c r="BK74" s="260"/>
      <c r="BL74" s="260" t="s">
        <v>283</v>
      </c>
      <c r="BM74" s="260" t="s">
        <v>283</v>
      </c>
      <c r="BN74" s="260"/>
      <c r="BO74" s="260"/>
      <c r="BP74" s="260"/>
      <c r="BQ74" s="264"/>
      <c r="BR74" s="326" t="s">
        <v>327</v>
      </c>
      <c r="BS74" s="454">
        <v>0.5</v>
      </c>
      <c r="BT74" s="265">
        <v>0.5</v>
      </c>
      <c r="BU74" s="265">
        <v>0</v>
      </c>
      <c r="BV74" s="265">
        <v>0</v>
      </c>
      <c r="BW74" s="265">
        <v>0</v>
      </c>
      <c r="BX74" s="265">
        <v>0.5</v>
      </c>
      <c r="BY74" s="265">
        <v>0</v>
      </c>
      <c r="BZ74" s="265">
        <v>0</v>
      </c>
      <c r="CA74" s="265">
        <v>0</v>
      </c>
      <c r="CB74" s="265">
        <v>0</v>
      </c>
      <c r="CC74" s="265">
        <v>0</v>
      </c>
      <c r="CD74" s="266">
        <v>0</v>
      </c>
      <c r="CE74" s="264" t="s">
        <v>249</v>
      </c>
      <c r="CF74" s="326" t="s">
        <v>327</v>
      </c>
      <c r="CG74" s="383">
        <v>0</v>
      </c>
      <c r="CH74" s="384">
        <v>0</v>
      </c>
      <c r="CI74" s="384">
        <v>0</v>
      </c>
      <c r="CJ74" s="384">
        <v>0</v>
      </c>
      <c r="CK74" s="384">
        <v>0</v>
      </c>
      <c r="CL74" s="384">
        <v>0</v>
      </c>
      <c r="CM74" s="384">
        <v>0</v>
      </c>
      <c r="CN74" s="384">
        <v>0</v>
      </c>
      <c r="CO74" s="384">
        <v>0</v>
      </c>
      <c r="CP74" s="388">
        <v>0</v>
      </c>
      <c r="CQ74" s="264" t="s">
        <v>249</v>
      </c>
      <c r="CR74" s="326" t="s">
        <v>327</v>
      </c>
      <c r="CS74" s="267">
        <f t="shared" si="330"/>
        <v>50000</v>
      </c>
      <c r="CT74" s="268">
        <f t="shared" si="331"/>
        <v>50000</v>
      </c>
      <c r="CU74" s="268">
        <f t="shared" si="332"/>
        <v>0</v>
      </c>
      <c r="CV74" s="268">
        <f t="shared" si="333"/>
        <v>0</v>
      </c>
      <c r="CW74" s="268">
        <f t="shared" si="334"/>
        <v>0</v>
      </c>
      <c r="CX74" s="268">
        <f t="shared" si="335"/>
        <v>50000</v>
      </c>
      <c r="CY74" s="268">
        <f t="shared" si="336"/>
        <v>0</v>
      </c>
      <c r="CZ74" s="268">
        <f t="shared" si="337"/>
        <v>0</v>
      </c>
      <c r="DA74" s="268">
        <f t="shared" si="338"/>
        <v>0</v>
      </c>
      <c r="DB74" s="268">
        <f t="shared" si="339"/>
        <v>0</v>
      </c>
      <c r="DC74" s="268">
        <f t="shared" si="340"/>
        <v>0</v>
      </c>
      <c r="DD74" s="268">
        <f t="shared" si="341"/>
        <v>0</v>
      </c>
      <c r="DE74" s="326"/>
      <c r="DF74" s="269">
        <f t="shared" si="342"/>
        <v>0</v>
      </c>
      <c r="DG74" s="270">
        <f t="shared" si="343"/>
        <v>0</v>
      </c>
      <c r="DH74" s="270">
        <f t="shared" si="344"/>
        <v>0</v>
      </c>
      <c r="DI74" s="270">
        <f t="shared" si="345"/>
        <v>0</v>
      </c>
      <c r="DJ74" s="270">
        <f t="shared" si="346"/>
        <v>0</v>
      </c>
      <c r="DK74" s="270">
        <f t="shared" si="347"/>
        <v>0</v>
      </c>
      <c r="DL74" s="270">
        <f t="shared" si="348"/>
        <v>0</v>
      </c>
      <c r="DM74" s="270">
        <f t="shared" si="349"/>
        <v>0</v>
      </c>
      <c r="DN74" s="270">
        <f t="shared" si="350"/>
        <v>0</v>
      </c>
      <c r="DO74" s="271">
        <f t="shared" si="351"/>
        <v>0</v>
      </c>
      <c r="DP74" s="326" t="s">
        <v>327</v>
      </c>
      <c r="DQ74" s="267">
        <f t="shared" si="322"/>
        <v>50000</v>
      </c>
      <c r="DR74" s="268">
        <f t="shared" si="100"/>
        <v>50000</v>
      </c>
      <c r="DS74" s="268">
        <f t="shared" si="101"/>
        <v>0</v>
      </c>
      <c r="DT74" s="268">
        <f t="shared" si="102"/>
        <v>0</v>
      </c>
      <c r="DU74" s="268">
        <f t="shared" si="103"/>
        <v>0</v>
      </c>
      <c r="DV74" s="268">
        <f t="shared" si="104"/>
        <v>50000</v>
      </c>
      <c r="DW74" s="268">
        <f t="shared" si="105"/>
        <v>0</v>
      </c>
      <c r="DX74" s="268">
        <f t="shared" si="106"/>
        <v>0</v>
      </c>
      <c r="DY74" s="268">
        <f t="shared" si="107"/>
        <v>0</v>
      </c>
      <c r="DZ74" s="268">
        <f t="shared" si="108"/>
        <v>0</v>
      </c>
      <c r="EA74" s="268">
        <f t="shared" si="352"/>
        <v>0</v>
      </c>
      <c r="EB74" s="268">
        <f t="shared" si="109"/>
        <v>0</v>
      </c>
      <c r="EC74" s="326"/>
      <c r="ED74" s="269">
        <f t="shared" si="323"/>
        <v>0</v>
      </c>
      <c r="EE74" s="270">
        <f t="shared" si="128"/>
        <v>0</v>
      </c>
      <c r="EF74" s="270">
        <f t="shared" si="129"/>
        <v>0</v>
      </c>
      <c r="EG74" s="270">
        <f t="shared" si="130"/>
        <v>0</v>
      </c>
      <c r="EH74" s="270">
        <f t="shared" si="131"/>
        <v>0</v>
      </c>
      <c r="EI74" s="270">
        <f t="shared" si="132"/>
        <v>0</v>
      </c>
      <c r="EJ74" s="270">
        <f t="shared" si="133"/>
        <v>0</v>
      </c>
      <c r="EK74" s="270">
        <f t="shared" si="134"/>
        <v>0</v>
      </c>
      <c r="EL74" s="270">
        <f t="shared" si="135"/>
        <v>0</v>
      </c>
      <c r="EM74" s="271">
        <f t="shared" si="136"/>
        <v>0</v>
      </c>
      <c r="EN74" s="326" t="s">
        <v>327</v>
      </c>
      <c r="EO74" s="267">
        <f t="shared" si="324"/>
        <v>0</v>
      </c>
      <c r="EP74" s="268">
        <f t="shared" si="110"/>
        <v>0</v>
      </c>
      <c r="EQ74" s="268">
        <f t="shared" si="111"/>
        <v>0</v>
      </c>
      <c r="ER74" s="268">
        <f t="shared" si="112"/>
        <v>0</v>
      </c>
      <c r="ES74" s="268">
        <f t="shared" si="113"/>
        <v>0</v>
      </c>
      <c r="ET74" s="268">
        <f t="shared" si="114"/>
        <v>0</v>
      </c>
      <c r="EU74" s="268">
        <f t="shared" si="115"/>
        <v>0</v>
      </c>
      <c r="EV74" s="268">
        <f t="shared" si="116"/>
        <v>0</v>
      </c>
      <c r="EW74" s="268">
        <f t="shared" si="117"/>
        <v>0</v>
      </c>
      <c r="EX74" s="268">
        <f t="shared" si="118"/>
        <v>0</v>
      </c>
      <c r="EY74" s="268">
        <f t="shared" si="353"/>
        <v>0</v>
      </c>
      <c r="EZ74" s="268">
        <f t="shared" si="119"/>
        <v>0</v>
      </c>
      <c r="FA74" s="326"/>
      <c r="FB74" s="269">
        <f t="shared" si="325"/>
        <v>0</v>
      </c>
      <c r="FC74" s="270">
        <f t="shared" si="137"/>
        <v>0</v>
      </c>
      <c r="FD74" s="270">
        <f t="shared" si="138"/>
        <v>0</v>
      </c>
      <c r="FE74" s="270">
        <f t="shared" si="139"/>
        <v>0</v>
      </c>
      <c r="FF74" s="270">
        <f t="shared" si="140"/>
        <v>0</v>
      </c>
      <c r="FG74" s="270">
        <f t="shared" si="141"/>
        <v>0</v>
      </c>
      <c r="FH74" s="270">
        <f t="shared" si="142"/>
        <v>0</v>
      </c>
      <c r="FI74" s="270">
        <f t="shared" si="143"/>
        <v>0</v>
      </c>
      <c r="FJ74" s="270">
        <f t="shared" si="144"/>
        <v>0</v>
      </c>
      <c r="FK74" s="271">
        <f t="shared" si="145"/>
        <v>0</v>
      </c>
    </row>
    <row r="75" spans="1:167" s="6" customFormat="1">
      <c r="A75" s="204" t="s">
        <v>169</v>
      </c>
      <c r="B75" s="204" t="s">
        <v>159</v>
      </c>
      <c r="C75" s="205" t="s">
        <v>139</v>
      </c>
      <c r="D75" s="206">
        <f t="shared" si="354"/>
        <v>70</v>
      </c>
      <c r="E75" s="327" t="s">
        <v>327</v>
      </c>
      <c r="F75" s="219"/>
      <c r="G75" s="219"/>
      <c r="H75" s="219"/>
      <c r="I75" s="219"/>
      <c r="J75" s="219"/>
      <c r="K75" s="219"/>
      <c r="L75" s="479"/>
      <c r="M75" s="480"/>
      <c r="N75" s="327" t="s">
        <v>327</v>
      </c>
      <c r="O75" s="430"/>
      <c r="P75" s="428"/>
      <c r="Q75" s="428"/>
      <c r="R75" s="428"/>
      <c r="S75" s="427"/>
      <c r="T75" s="427"/>
      <c r="U75" s="431"/>
      <c r="V75" s="429"/>
      <c r="W75" s="326" t="s">
        <v>327</v>
      </c>
      <c r="X75" s="426">
        <v>0</v>
      </c>
      <c r="Y75" s="427">
        <v>0</v>
      </c>
      <c r="Z75" s="427">
        <v>0</v>
      </c>
      <c r="AA75" s="427">
        <v>0</v>
      </c>
      <c r="AB75" s="427">
        <v>4675000</v>
      </c>
      <c r="AC75" s="427">
        <v>0</v>
      </c>
      <c r="AD75" s="427">
        <v>4675000</v>
      </c>
      <c r="AE75" s="427" t="s">
        <v>939</v>
      </c>
      <c r="AF75" s="429" t="s">
        <v>327</v>
      </c>
      <c r="AG75" s="326" t="s">
        <v>327</v>
      </c>
      <c r="AH75" s="426"/>
      <c r="AI75" s="427"/>
      <c r="AJ75" s="427"/>
      <c r="AK75" s="427">
        <f t="shared" ref="AK75:AK77" si="359">AD75</f>
        <v>4675000</v>
      </c>
      <c r="AL75" s="427"/>
      <c r="AM75" s="427"/>
      <c r="AN75" s="427">
        <f t="shared" ref="AN75:AN77" si="360">AK75</f>
        <v>4675000</v>
      </c>
      <c r="AO75" s="427" t="str">
        <f t="shared" ref="AO75:AO77" si="361">AE75</f>
        <v>AHAM 2006; Darnell 2008</v>
      </c>
      <c r="AP75" s="429" t="str">
        <f t="shared" ref="AP75:AP77" si="362">AF75</f>
        <v xml:space="preserve"> </v>
      </c>
      <c r="AQ75" s="326" t="s">
        <v>327</v>
      </c>
      <c r="AR75" s="449" t="s">
        <v>776</v>
      </c>
      <c r="AS75" s="513">
        <v>0.05</v>
      </c>
      <c r="AT75" s="539" t="s">
        <v>244</v>
      </c>
      <c r="AU75" s="540" t="s">
        <v>898</v>
      </c>
      <c r="AV75" s="326" t="s">
        <v>327</v>
      </c>
      <c r="AW75" s="443">
        <v>1</v>
      </c>
      <c r="AX75" s="444">
        <v>1</v>
      </c>
      <c r="AY75" s="539" t="s">
        <v>249</v>
      </c>
      <c r="AZ75" s="431"/>
      <c r="BA75" s="431"/>
      <c r="BB75" s="431"/>
      <c r="BC75" s="431"/>
      <c r="BD75" s="431"/>
      <c r="BE75" s="431"/>
      <c r="BF75" s="429"/>
      <c r="BG75" s="326" t="s">
        <v>327</v>
      </c>
      <c r="BH75" s="443">
        <v>1</v>
      </c>
      <c r="BI75" s="444">
        <v>1</v>
      </c>
      <c r="BJ75" s="431" t="s">
        <v>407</v>
      </c>
      <c r="BK75" s="431"/>
      <c r="BL75" s="431">
        <v>4.5</v>
      </c>
      <c r="BM75" s="431">
        <v>6.75</v>
      </c>
      <c r="BN75" s="431" t="s">
        <v>294</v>
      </c>
      <c r="BO75" s="431"/>
      <c r="BP75" s="431"/>
      <c r="BQ75" s="429"/>
      <c r="BR75" s="326" t="s">
        <v>327</v>
      </c>
      <c r="BS75" s="449">
        <v>0</v>
      </c>
      <c r="BT75" s="450">
        <v>0</v>
      </c>
      <c r="BU75" s="450">
        <v>0</v>
      </c>
      <c r="BV75" s="450">
        <v>0</v>
      </c>
      <c r="BW75" s="450">
        <v>0</v>
      </c>
      <c r="BX75" s="450">
        <v>0</v>
      </c>
      <c r="BY75" s="450">
        <v>0</v>
      </c>
      <c r="BZ75" s="450">
        <v>0</v>
      </c>
      <c r="CA75" s="450">
        <v>0</v>
      </c>
      <c r="CB75" s="450">
        <v>0</v>
      </c>
      <c r="CC75" s="450">
        <v>0</v>
      </c>
      <c r="CD75" s="451">
        <v>1</v>
      </c>
      <c r="CE75" s="429" t="s">
        <v>249</v>
      </c>
      <c r="CF75" s="326" t="s">
        <v>327</v>
      </c>
      <c r="CG75" s="456">
        <v>0</v>
      </c>
      <c r="CH75" s="457">
        <v>0.5</v>
      </c>
      <c r="CI75" s="457">
        <v>0.5</v>
      </c>
      <c r="CJ75" s="457">
        <v>0</v>
      </c>
      <c r="CK75" s="457">
        <v>0</v>
      </c>
      <c r="CL75" s="457">
        <v>0</v>
      </c>
      <c r="CM75" s="457">
        <v>0</v>
      </c>
      <c r="CN75" s="457">
        <v>0</v>
      </c>
      <c r="CO75" s="457">
        <v>0</v>
      </c>
      <c r="CP75" s="458">
        <v>0</v>
      </c>
      <c r="CQ75" s="429" t="s">
        <v>249</v>
      </c>
      <c r="CR75" s="326" t="s">
        <v>327</v>
      </c>
      <c r="CS75" s="459">
        <f t="shared" si="330"/>
        <v>0</v>
      </c>
      <c r="CT75" s="460">
        <f t="shared" si="331"/>
        <v>0</v>
      </c>
      <c r="CU75" s="460">
        <f t="shared" si="332"/>
        <v>0</v>
      </c>
      <c r="CV75" s="460">
        <f t="shared" si="333"/>
        <v>0</v>
      </c>
      <c r="CW75" s="460">
        <f t="shared" si="334"/>
        <v>0</v>
      </c>
      <c r="CX75" s="460">
        <f t="shared" si="335"/>
        <v>0</v>
      </c>
      <c r="CY75" s="460">
        <f t="shared" si="336"/>
        <v>0</v>
      </c>
      <c r="CZ75" s="460">
        <f t="shared" si="337"/>
        <v>0</v>
      </c>
      <c r="DA75" s="460">
        <f t="shared" si="338"/>
        <v>0</v>
      </c>
      <c r="DB75" s="460">
        <f t="shared" si="339"/>
        <v>0</v>
      </c>
      <c r="DC75" s="460">
        <f t="shared" si="340"/>
        <v>0</v>
      </c>
      <c r="DD75" s="460">
        <f t="shared" si="341"/>
        <v>4675000</v>
      </c>
      <c r="DE75" s="326"/>
      <c r="DF75" s="465">
        <f t="shared" si="342"/>
        <v>0</v>
      </c>
      <c r="DG75" s="466">
        <f t="shared" si="343"/>
        <v>2337500</v>
      </c>
      <c r="DH75" s="466">
        <f t="shared" si="344"/>
        <v>2337500</v>
      </c>
      <c r="DI75" s="466">
        <f t="shared" si="345"/>
        <v>0</v>
      </c>
      <c r="DJ75" s="466">
        <f t="shared" si="346"/>
        <v>0</v>
      </c>
      <c r="DK75" s="466">
        <f t="shared" si="347"/>
        <v>0</v>
      </c>
      <c r="DL75" s="466">
        <f t="shared" si="348"/>
        <v>0</v>
      </c>
      <c r="DM75" s="466">
        <f t="shared" si="349"/>
        <v>0</v>
      </c>
      <c r="DN75" s="466">
        <f t="shared" si="350"/>
        <v>0</v>
      </c>
      <c r="DO75" s="467">
        <f t="shared" si="351"/>
        <v>0</v>
      </c>
      <c r="DP75" s="326" t="s">
        <v>327</v>
      </c>
      <c r="DQ75" s="459">
        <f t="shared" si="322"/>
        <v>0</v>
      </c>
      <c r="DR75" s="460">
        <f t="shared" si="100"/>
        <v>0</v>
      </c>
      <c r="DS75" s="460">
        <f t="shared" si="101"/>
        <v>0</v>
      </c>
      <c r="DT75" s="460">
        <f t="shared" si="102"/>
        <v>0</v>
      </c>
      <c r="DU75" s="460">
        <f t="shared" si="103"/>
        <v>0</v>
      </c>
      <c r="DV75" s="460">
        <f t="shared" si="104"/>
        <v>0</v>
      </c>
      <c r="DW75" s="460">
        <f t="shared" si="105"/>
        <v>0</v>
      </c>
      <c r="DX75" s="460">
        <f t="shared" si="106"/>
        <v>0</v>
      </c>
      <c r="DY75" s="460">
        <f t="shared" si="107"/>
        <v>0</v>
      </c>
      <c r="DZ75" s="460">
        <f t="shared" si="108"/>
        <v>0</v>
      </c>
      <c r="EA75" s="460">
        <f t="shared" si="352"/>
        <v>0</v>
      </c>
      <c r="EB75" s="460">
        <f t="shared" si="109"/>
        <v>4441250</v>
      </c>
      <c r="EC75" s="326"/>
      <c r="ED75" s="465">
        <f t="shared" si="323"/>
        <v>0</v>
      </c>
      <c r="EE75" s="466">
        <f t="shared" si="128"/>
        <v>2220625</v>
      </c>
      <c r="EF75" s="466">
        <f t="shared" si="129"/>
        <v>2220625</v>
      </c>
      <c r="EG75" s="466">
        <f t="shared" si="130"/>
        <v>0</v>
      </c>
      <c r="EH75" s="466">
        <f t="shared" si="131"/>
        <v>0</v>
      </c>
      <c r="EI75" s="466">
        <f t="shared" si="132"/>
        <v>0</v>
      </c>
      <c r="EJ75" s="466">
        <f t="shared" si="133"/>
        <v>0</v>
      </c>
      <c r="EK75" s="466">
        <f t="shared" si="134"/>
        <v>0</v>
      </c>
      <c r="EL75" s="466">
        <f t="shared" si="135"/>
        <v>0</v>
      </c>
      <c r="EM75" s="467">
        <f t="shared" si="136"/>
        <v>0</v>
      </c>
      <c r="EN75" s="326" t="s">
        <v>327</v>
      </c>
      <c r="EO75" s="218">
        <f t="shared" si="324"/>
        <v>0</v>
      </c>
      <c r="EP75" s="219">
        <f t="shared" si="110"/>
        <v>0</v>
      </c>
      <c r="EQ75" s="219">
        <f t="shared" si="111"/>
        <v>0</v>
      </c>
      <c r="ER75" s="219">
        <f t="shared" si="112"/>
        <v>0</v>
      </c>
      <c r="ES75" s="219">
        <f t="shared" si="113"/>
        <v>0</v>
      </c>
      <c r="ET75" s="219">
        <f t="shared" si="114"/>
        <v>0</v>
      </c>
      <c r="EU75" s="219">
        <f t="shared" si="115"/>
        <v>0</v>
      </c>
      <c r="EV75" s="219">
        <f t="shared" si="116"/>
        <v>0</v>
      </c>
      <c r="EW75" s="219">
        <f t="shared" si="117"/>
        <v>0</v>
      </c>
      <c r="EX75" s="219">
        <f t="shared" si="118"/>
        <v>0</v>
      </c>
      <c r="EY75" s="219">
        <f t="shared" si="353"/>
        <v>0</v>
      </c>
      <c r="EZ75" s="219">
        <f t="shared" si="119"/>
        <v>233750</v>
      </c>
      <c r="FA75" s="326"/>
      <c r="FB75" s="465">
        <f t="shared" si="325"/>
        <v>0</v>
      </c>
      <c r="FC75" s="466">
        <f t="shared" si="137"/>
        <v>116875</v>
      </c>
      <c r="FD75" s="466">
        <f t="shared" si="138"/>
        <v>116875</v>
      </c>
      <c r="FE75" s="466">
        <f t="shared" si="139"/>
        <v>0</v>
      </c>
      <c r="FF75" s="466">
        <f t="shared" si="140"/>
        <v>0</v>
      </c>
      <c r="FG75" s="466">
        <f t="shared" si="141"/>
        <v>0</v>
      </c>
      <c r="FH75" s="466">
        <f t="shared" si="142"/>
        <v>0</v>
      </c>
      <c r="FI75" s="466">
        <f t="shared" si="143"/>
        <v>0</v>
      </c>
      <c r="FJ75" s="466">
        <f t="shared" si="144"/>
        <v>0</v>
      </c>
      <c r="FK75" s="467">
        <f t="shared" si="145"/>
        <v>0</v>
      </c>
    </row>
    <row r="76" spans="1:167" s="6" customFormat="1">
      <c r="A76" s="186" t="s">
        <v>169</v>
      </c>
      <c r="B76" s="186" t="s">
        <v>159</v>
      </c>
      <c r="C76" s="187" t="s">
        <v>140</v>
      </c>
      <c r="D76" s="188">
        <f t="shared" si="354"/>
        <v>71</v>
      </c>
      <c r="E76" s="327" t="s">
        <v>327</v>
      </c>
      <c r="F76" s="154"/>
      <c r="G76" s="154"/>
      <c r="H76" s="154"/>
      <c r="I76" s="154"/>
      <c r="J76" s="154"/>
      <c r="K76" s="154"/>
      <c r="L76" s="481"/>
      <c r="M76" s="478"/>
      <c r="N76" s="327" t="s">
        <v>327</v>
      </c>
      <c r="O76" s="432"/>
      <c r="P76" s="191"/>
      <c r="Q76" s="191"/>
      <c r="R76" s="191"/>
      <c r="S76" s="189"/>
      <c r="T76" s="189"/>
      <c r="U76" s="193"/>
      <c r="V76" s="197"/>
      <c r="W76" s="326" t="s">
        <v>327</v>
      </c>
      <c r="X76" s="435">
        <v>0</v>
      </c>
      <c r="Y76" s="189">
        <v>0</v>
      </c>
      <c r="Z76" s="189">
        <v>0</v>
      </c>
      <c r="AA76" s="189">
        <v>0</v>
      </c>
      <c r="AB76" s="189">
        <v>7012500</v>
      </c>
      <c r="AC76" s="189">
        <v>0</v>
      </c>
      <c r="AD76" s="189">
        <v>7012500</v>
      </c>
      <c r="AE76" s="189" t="s">
        <v>939</v>
      </c>
      <c r="AF76" s="197" t="s">
        <v>327</v>
      </c>
      <c r="AG76" s="326" t="s">
        <v>327</v>
      </c>
      <c r="AH76" s="435"/>
      <c r="AI76" s="189"/>
      <c r="AJ76" s="189"/>
      <c r="AK76" s="189">
        <f t="shared" si="359"/>
        <v>7012500</v>
      </c>
      <c r="AL76" s="189"/>
      <c r="AM76" s="189"/>
      <c r="AN76" s="189">
        <f t="shared" si="360"/>
        <v>7012500</v>
      </c>
      <c r="AO76" s="189" t="str">
        <f t="shared" si="361"/>
        <v>AHAM 2006; Darnell 2008</v>
      </c>
      <c r="AP76" s="197" t="str">
        <f t="shared" si="362"/>
        <v xml:space="preserve"> </v>
      </c>
      <c r="AQ76" s="326" t="s">
        <v>327</v>
      </c>
      <c r="AR76" s="452" t="s">
        <v>776</v>
      </c>
      <c r="AS76" s="511">
        <v>0.15</v>
      </c>
      <c r="AT76" s="481" t="s">
        <v>244</v>
      </c>
      <c r="AU76" s="197" t="s">
        <v>898</v>
      </c>
      <c r="AV76" s="326" t="s">
        <v>327</v>
      </c>
      <c r="AW76" s="445">
        <v>0.05</v>
      </c>
      <c r="AX76" s="196">
        <v>1</v>
      </c>
      <c r="AY76" s="193" t="s">
        <v>416</v>
      </c>
      <c r="AZ76" s="193"/>
      <c r="BA76" s="193"/>
      <c r="BB76" s="193"/>
      <c r="BC76" s="193"/>
      <c r="BD76" s="193"/>
      <c r="BE76" s="193"/>
      <c r="BF76" s="197"/>
      <c r="BG76" s="326" t="s">
        <v>327</v>
      </c>
      <c r="BH76" s="445">
        <v>1</v>
      </c>
      <c r="BI76" s="196">
        <v>1</v>
      </c>
      <c r="BJ76" s="193" t="s">
        <v>407</v>
      </c>
      <c r="BK76" s="193"/>
      <c r="BL76" s="193">
        <v>12</v>
      </c>
      <c r="BM76" s="193">
        <v>16.8</v>
      </c>
      <c r="BN76" s="193" t="s">
        <v>294</v>
      </c>
      <c r="BO76" s="193">
        <v>9.6</v>
      </c>
      <c r="BP76" s="193">
        <v>12.48</v>
      </c>
      <c r="BQ76" s="197" t="s">
        <v>294</v>
      </c>
      <c r="BR76" s="326" t="s">
        <v>327</v>
      </c>
      <c r="BS76" s="452">
        <v>0</v>
      </c>
      <c r="BT76" s="198">
        <v>0</v>
      </c>
      <c r="BU76" s="198">
        <v>0</v>
      </c>
      <c r="BV76" s="198">
        <v>0</v>
      </c>
      <c r="BW76" s="198">
        <v>0</v>
      </c>
      <c r="BX76" s="198">
        <v>0</v>
      </c>
      <c r="BY76" s="198">
        <v>0</v>
      </c>
      <c r="BZ76" s="198">
        <v>0</v>
      </c>
      <c r="CA76" s="198">
        <v>0</v>
      </c>
      <c r="CB76" s="198">
        <v>0</v>
      </c>
      <c r="CC76" s="198">
        <v>0</v>
      </c>
      <c r="CD76" s="199">
        <v>1</v>
      </c>
      <c r="CE76" s="197" t="s">
        <v>249</v>
      </c>
      <c r="CF76" s="326" t="s">
        <v>327</v>
      </c>
      <c r="CG76" s="379">
        <v>0</v>
      </c>
      <c r="CH76" s="380">
        <v>0</v>
      </c>
      <c r="CI76" s="380">
        <v>0.25</v>
      </c>
      <c r="CJ76" s="380">
        <v>0.75</v>
      </c>
      <c r="CK76" s="380">
        <v>0</v>
      </c>
      <c r="CL76" s="380">
        <v>0</v>
      </c>
      <c r="CM76" s="380">
        <v>0</v>
      </c>
      <c r="CN76" s="380">
        <v>0</v>
      </c>
      <c r="CO76" s="380">
        <v>0</v>
      </c>
      <c r="CP76" s="386">
        <v>0</v>
      </c>
      <c r="CQ76" s="197" t="s">
        <v>249</v>
      </c>
      <c r="CR76" s="326" t="s">
        <v>327</v>
      </c>
      <c r="CS76" s="200">
        <f t="shared" si="330"/>
        <v>0</v>
      </c>
      <c r="CT76" s="154">
        <f t="shared" si="331"/>
        <v>0</v>
      </c>
      <c r="CU76" s="154">
        <f t="shared" si="332"/>
        <v>0</v>
      </c>
      <c r="CV76" s="154">
        <f t="shared" si="333"/>
        <v>0</v>
      </c>
      <c r="CW76" s="154">
        <f t="shared" si="334"/>
        <v>0</v>
      </c>
      <c r="CX76" s="154">
        <f t="shared" si="335"/>
        <v>0</v>
      </c>
      <c r="CY76" s="154">
        <f t="shared" si="336"/>
        <v>0</v>
      </c>
      <c r="CZ76" s="154">
        <f t="shared" si="337"/>
        <v>0</v>
      </c>
      <c r="DA76" s="154">
        <f t="shared" si="338"/>
        <v>0</v>
      </c>
      <c r="DB76" s="154">
        <f t="shared" si="339"/>
        <v>0</v>
      </c>
      <c r="DC76" s="154">
        <f t="shared" si="340"/>
        <v>0</v>
      </c>
      <c r="DD76" s="154">
        <f t="shared" si="341"/>
        <v>350625</v>
      </c>
      <c r="DE76" s="326"/>
      <c r="DF76" s="201">
        <f t="shared" si="342"/>
        <v>0</v>
      </c>
      <c r="DG76" s="202">
        <f t="shared" si="343"/>
        <v>0</v>
      </c>
      <c r="DH76" s="202">
        <f t="shared" si="344"/>
        <v>1753125</v>
      </c>
      <c r="DI76" s="202">
        <f t="shared" si="345"/>
        <v>5259375</v>
      </c>
      <c r="DJ76" s="202">
        <f t="shared" si="346"/>
        <v>0</v>
      </c>
      <c r="DK76" s="202">
        <f t="shared" si="347"/>
        <v>0</v>
      </c>
      <c r="DL76" s="202">
        <f t="shared" si="348"/>
        <v>0</v>
      </c>
      <c r="DM76" s="202">
        <f t="shared" si="349"/>
        <v>0</v>
      </c>
      <c r="DN76" s="202">
        <f t="shared" si="350"/>
        <v>0</v>
      </c>
      <c r="DO76" s="203">
        <f t="shared" si="351"/>
        <v>0</v>
      </c>
      <c r="DP76" s="326" t="s">
        <v>327</v>
      </c>
      <c r="DQ76" s="200">
        <f t="shared" si="322"/>
        <v>0</v>
      </c>
      <c r="DR76" s="154">
        <f t="shared" si="100"/>
        <v>0</v>
      </c>
      <c r="DS76" s="154">
        <f t="shared" si="101"/>
        <v>0</v>
      </c>
      <c r="DT76" s="154">
        <f t="shared" si="102"/>
        <v>0</v>
      </c>
      <c r="DU76" s="154">
        <f t="shared" si="103"/>
        <v>0</v>
      </c>
      <c r="DV76" s="154">
        <f t="shared" si="104"/>
        <v>0</v>
      </c>
      <c r="DW76" s="154">
        <f t="shared" si="105"/>
        <v>0</v>
      </c>
      <c r="DX76" s="154">
        <f t="shared" si="106"/>
        <v>0</v>
      </c>
      <c r="DY76" s="154">
        <f t="shared" si="107"/>
        <v>0</v>
      </c>
      <c r="DZ76" s="154">
        <f t="shared" si="108"/>
        <v>0</v>
      </c>
      <c r="EA76" s="154">
        <f t="shared" si="352"/>
        <v>0</v>
      </c>
      <c r="EB76" s="154">
        <f t="shared" si="109"/>
        <v>298031.25</v>
      </c>
      <c r="EC76" s="326"/>
      <c r="ED76" s="201">
        <f t="shared" si="323"/>
        <v>0</v>
      </c>
      <c r="EE76" s="202">
        <f t="shared" si="128"/>
        <v>0</v>
      </c>
      <c r="EF76" s="202">
        <f t="shared" si="129"/>
        <v>1490156.25</v>
      </c>
      <c r="EG76" s="202">
        <f t="shared" si="130"/>
        <v>4470468.75</v>
      </c>
      <c r="EH76" s="202">
        <f t="shared" si="131"/>
        <v>0</v>
      </c>
      <c r="EI76" s="202">
        <f t="shared" si="132"/>
        <v>0</v>
      </c>
      <c r="EJ76" s="202">
        <f t="shared" si="133"/>
        <v>0</v>
      </c>
      <c r="EK76" s="202">
        <f t="shared" si="134"/>
        <v>0</v>
      </c>
      <c r="EL76" s="202">
        <f t="shared" si="135"/>
        <v>0</v>
      </c>
      <c r="EM76" s="203">
        <f t="shared" si="136"/>
        <v>0</v>
      </c>
      <c r="EN76" s="326" t="s">
        <v>327</v>
      </c>
      <c r="EO76" s="200">
        <f t="shared" si="324"/>
        <v>0</v>
      </c>
      <c r="EP76" s="154">
        <f t="shared" si="110"/>
        <v>0</v>
      </c>
      <c r="EQ76" s="154">
        <f t="shared" si="111"/>
        <v>0</v>
      </c>
      <c r="ER76" s="154">
        <f t="shared" si="112"/>
        <v>0</v>
      </c>
      <c r="ES76" s="154">
        <f t="shared" si="113"/>
        <v>0</v>
      </c>
      <c r="ET76" s="154">
        <f t="shared" si="114"/>
        <v>0</v>
      </c>
      <c r="EU76" s="154">
        <f t="shared" si="115"/>
        <v>0</v>
      </c>
      <c r="EV76" s="154">
        <f t="shared" si="116"/>
        <v>0</v>
      </c>
      <c r="EW76" s="154">
        <f t="shared" si="117"/>
        <v>0</v>
      </c>
      <c r="EX76" s="154">
        <f t="shared" si="118"/>
        <v>0</v>
      </c>
      <c r="EY76" s="154">
        <f t="shared" si="353"/>
        <v>0</v>
      </c>
      <c r="EZ76" s="154">
        <f t="shared" si="119"/>
        <v>52593.75</v>
      </c>
      <c r="FA76" s="326"/>
      <c r="FB76" s="201">
        <f t="shared" si="325"/>
        <v>0</v>
      </c>
      <c r="FC76" s="202">
        <f t="shared" si="137"/>
        <v>0</v>
      </c>
      <c r="FD76" s="202">
        <f t="shared" si="138"/>
        <v>262968.75</v>
      </c>
      <c r="FE76" s="202">
        <f t="shared" si="139"/>
        <v>788906.25</v>
      </c>
      <c r="FF76" s="202">
        <f t="shared" si="140"/>
        <v>0</v>
      </c>
      <c r="FG76" s="202">
        <f t="shared" si="141"/>
        <v>0</v>
      </c>
      <c r="FH76" s="202">
        <f t="shared" si="142"/>
        <v>0</v>
      </c>
      <c r="FI76" s="202">
        <f t="shared" si="143"/>
        <v>0</v>
      </c>
      <c r="FJ76" s="202">
        <f t="shared" si="144"/>
        <v>0</v>
      </c>
      <c r="FK76" s="203">
        <f t="shared" si="145"/>
        <v>0</v>
      </c>
    </row>
    <row r="77" spans="1:167" s="6" customFormat="1">
      <c r="A77" s="223" t="s">
        <v>169</v>
      </c>
      <c r="B77" s="223" t="s">
        <v>159</v>
      </c>
      <c r="C77" s="224" t="s">
        <v>141</v>
      </c>
      <c r="D77" s="225">
        <f t="shared" si="354"/>
        <v>72</v>
      </c>
      <c r="E77" s="327" t="s">
        <v>327</v>
      </c>
      <c r="F77" s="232"/>
      <c r="G77" s="233"/>
      <c r="H77" s="233"/>
      <c r="I77" s="233"/>
      <c r="J77" s="233"/>
      <c r="K77" s="233"/>
      <c r="L77" s="484"/>
      <c r="M77" s="483"/>
      <c r="N77" s="327" t="s">
        <v>327</v>
      </c>
      <c r="O77" s="434"/>
      <c r="P77" s="239"/>
      <c r="Q77" s="239"/>
      <c r="R77" s="239"/>
      <c r="S77" s="226"/>
      <c r="T77" s="226"/>
      <c r="U77" s="227"/>
      <c r="V77" s="229"/>
      <c r="W77" s="326" t="s">
        <v>327</v>
      </c>
      <c r="X77" s="425">
        <v>0</v>
      </c>
      <c r="Y77" s="226">
        <v>0</v>
      </c>
      <c r="Z77" s="226">
        <v>0</v>
      </c>
      <c r="AA77" s="226">
        <v>0</v>
      </c>
      <c r="AB77" s="226">
        <v>11687500</v>
      </c>
      <c r="AC77" s="226">
        <v>0</v>
      </c>
      <c r="AD77" s="226">
        <v>11687500</v>
      </c>
      <c r="AE77" s="226" t="s">
        <v>939</v>
      </c>
      <c r="AF77" s="229" t="s">
        <v>327</v>
      </c>
      <c r="AG77" s="326" t="s">
        <v>327</v>
      </c>
      <c r="AH77" s="425"/>
      <c r="AI77" s="226"/>
      <c r="AJ77" s="226"/>
      <c r="AK77" s="226">
        <f t="shared" si="359"/>
        <v>11687500</v>
      </c>
      <c r="AL77" s="226"/>
      <c r="AM77" s="226"/>
      <c r="AN77" s="226">
        <f t="shared" si="360"/>
        <v>11687500</v>
      </c>
      <c r="AO77" s="226" t="str">
        <f t="shared" si="361"/>
        <v>AHAM 2006; Darnell 2008</v>
      </c>
      <c r="AP77" s="229" t="str">
        <f t="shared" si="362"/>
        <v xml:space="preserve"> </v>
      </c>
      <c r="AQ77" s="326" t="s">
        <v>327</v>
      </c>
      <c r="AR77" s="455" t="s">
        <v>776</v>
      </c>
      <c r="AS77" s="514">
        <v>0.35</v>
      </c>
      <c r="AT77" s="484" t="s">
        <v>244</v>
      </c>
      <c r="AU77" s="229" t="s">
        <v>1018</v>
      </c>
      <c r="AV77" s="326" t="s">
        <v>327</v>
      </c>
      <c r="AW77" s="447">
        <v>0</v>
      </c>
      <c r="AX77" s="228">
        <v>0</v>
      </c>
      <c r="AY77" s="238" t="s">
        <v>382</v>
      </c>
      <c r="AZ77" s="227"/>
      <c r="BA77" s="227" t="s">
        <v>283</v>
      </c>
      <c r="BB77" s="227" t="s">
        <v>283</v>
      </c>
      <c r="BC77" s="227"/>
      <c r="BD77" s="227"/>
      <c r="BE77" s="227"/>
      <c r="BF77" s="229"/>
      <c r="BG77" s="326" t="s">
        <v>327</v>
      </c>
      <c r="BH77" s="447">
        <v>1</v>
      </c>
      <c r="BI77" s="228">
        <v>1</v>
      </c>
      <c r="BJ77" s="227" t="s">
        <v>407</v>
      </c>
      <c r="BK77" s="227"/>
      <c r="BL77" s="227">
        <v>18</v>
      </c>
      <c r="BM77" s="227">
        <v>54</v>
      </c>
      <c r="BN77" s="227" t="s">
        <v>294</v>
      </c>
      <c r="BO77" s="227" t="s">
        <v>283</v>
      </c>
      <c r="BP77" s="227" t="s">
        <v>283</v>
      </c>
      <c r="BQ77" s="229" t="s">
        <v>283</v>
      </c>
      <c r="BR77" s="326" t="s">
        <v>327</v>
      </c>
      <c r="BS77" s="455">
        <v>0</v>
      </c>
      <c r="BT77" s="230">
        <v>0</v>
      </c>
      <c r="BU77" s="230">
        <v>0</v>
      </c>
      <c r="BV77" s="230">
        <v>0</v>
      </c>
      <c r="BW77" s="230">
        <v>0</v>
      </c>
      <c r="BX77" s="230">
        <v>0</v>
      </c>
      <c r="BY77" s="230">
        <v>0</v>
      </c>
      <c r="BZ77" s="230">
        <v>0</v>
      </c>
      <c r="CA77" s="230">
        <v>0</v>
      </c>
      <c r="CB77" s="230">
        <v>0</v>
      </c>
      <c r="CC77" s="230">
        <v>0</v>
      </c>
      <c r="CD77" s="231">
        <v>0</v>
      </c>
      <c r="CE77" s="229" t="s">
        <v>249</v>
      </c>
      <c r="CF77" s="326" t="s">
        <v>327</v>
      </c>
      <c r="CG77" s="381">
        <v>0</v>
      </c>
      <c r="CH77" s="382">
        <v>0</v>
      </c>
      <c r="CI77" s="382">
        <v>0</v>
      </c>
      <c r="CJ77" s="382">
        <v>1</v>
      </c>
      <c r="CK77" s="382">
        <v>0</v>
      </c>
      <c r="CL77" s="382">
        <v>0</v>
      </c>
      <c r="CM77" s="382">
        <v>0</v>
      </c>
      <c r="CN77" s="382">
        <v>0</v>
      </c>
      <c r="CO77" s="382">
        <v>0</v>
      </c>
      <c r="CP77" s="387">
        <v>0</v>
      </c>
      <c r="CQ77" s="229" t="s">
        <v>249</v>
      </c>
      <c r="CR77" s="326" t="s">
        <v>327</v>
      </c>
      <c r="CS77" s="232">
        <f t="shared" si="330"/>
        <v>0</v>
      </c>
      <c r="CT77" s="233">
        <f t="shared" si="331"/>
        <v>0</v>
      </c>
      <c r="CU77" s="233">
        <f t="shared" si="332"/>
        <v>0</v>
      </c>
      <c r="CV77" s="233">
        <f t="shared" si="333"/>
        <v>0</v>
      </c>
      <c r="CW77" s="233">
        <f t="shared" si="334"/>
        <v>0</v>
      </c>
      <c r="CX77" s="233">
        <f t="shared" si="335"/>
        <v>0</v>
      </c>
      <c r="CY77" s="233">
        <f t="shared" si="336"/>
        <v>0</v>
      </c>
      <c r="CZ77" s="233">
        <f t="shared" si="337"/>
        <v>0</v>
      </c>
      <c r="DA77" s="233">
        <f t="shared" si="338"/>
        <v>0</v>
      </c>
      <c r="DB77" s="233">
        <f t="shared" si="339"/>
        <v>0</v>
      </c>
      <c r="DC77" s="233">
        <f t="shared" si="340"/>
        <v>0</v>
      </c>
      <c r="DD77" s="233">
        <f t="shared" si="341"/>
        <v>0</v>
      </c>
      <c r="DE77" s="326"/>
      <c r="DF77" s="234">
        <f t="shared" si="342"/>
        <v>0</v>
      </c>
      <c r="DG77" s="235">
        <f t="shared" si="343"/>
        <v>0</v>
      </c>
      <c r="DH77" s="235">
        <f t="shared" si="344"/>
        <v>0</v>
      </c>
      <c r="DI77" s="235">
        <f t="shared" si="345"/>
        <v>11687500</v>
      </c>
      <c r="DJ77" s="235">
        <f t="shared" si="346"/>
        <v>0</v>
      </c>
      <c r="DK77" s="235">
        <f t="shared" si="347"/>
        <v>0</v>
      </c>
      <c r="DL77" s="235">
        <f t="shared" si="348"/>
        <v>0</v>
      </c>
      <c r="DM77" s="235">
        <f t="shared" si="349"/>
        <v>0</v>
      </c>
      <c r="DN77" s="235">
        <f t="shared" si="350"/>
        <v>0</v>
      </c>
      <c r="DO77" s="236">
        <f t="shared" si="351"/>
        <v>0</v>
      </c>
      <c r="DP77" s="326" t="s">
        <v>327</v>
      </c>
      <c r="DQ77" s="232">
        <f t="shared" si="322"/>
        <v>0</v>
      </c>
      <c r="DR77" s="233">
        <f t="shared" si="100"/>
        <v>0</v>
      </c>
      <c r="DS77" s="233">
        <f t="shared" si="101"/>
        <v>0</v>
      </c>
      <c r="DT77" s="233">
        <f t="shared" si="102"/>
        <v>0</v>
      </c>
      <c r="DU77" s="233">
        <f t="shared" si="103"/>
        <v>0</v>
      </c>
      <c r="DV77" s="233">
        <f t="shared" si="104"/>
        <v>0</v>
      </c>
      <c r="DW77" s="233">
        <f t="shared" si="105"/>
        <v>0</v>
      </c>
      <c r="DX77" s="233">
        <f t="shared" si="106"/>
        <v>0</v>
      </c>
      <c r="DY77" s="233">
        <f t="shared" si="107"/>
        <v>0</v>
      </c>
      <c r="DZ77" s="233">
        <f t="shared" si="108"/>
        <v>0</v>
      </c>
      <c r="EA77" s="233">
        <f t="shared" si="352"/>
        <v>0</v>
      </c>
      <c r="EB77" s="233">
        <f t="shared" si="109"/>
        <v>0</v>
      </c>
      <c r="EC77" s="326"/>
      <c r="ED77" s="234">
        <f t="shared" si="323"/>
        <v>0</v>
      </c>
      <c r="EE77" s="235">
        <f t="shared" si="128"/>
        <v>0</v>
      </c>
      <c r="EF77" s="235">
        <f t="shared" si="129"/>
        <v>0</v>
      </c>
      <c r="EG77" s="235">
        <f t="shared" si="130"/>
        <v>7596875</v>
      </c>
      <c r="EH77" s="235">
        <f t="shared" si="131"/>
        <v>0</v>
      </c>
      <c r="EI77" s="235">
        <f t="shared" si="132"/>
        <v>0</v>
      </c>
      <c r="EJ77" s="235">
        <f t="shared" si="133"/>
        <v>0</v>
      </c>
      <c r="EK77" s="235">
        <f t="shared" si="134"/>
        <v>0</v>
      </c>
      <c r="EL77" s="235">
        <f t="shared" si="135"/>
        <v>0</v>
      </c>
      <c r="EM77" s="236">
        <f t="shared" si="136"/>
        <v>0</v>
      </c>
      <c r="EN77" s="326" t="s">
        <v>327</v>
      </c>
      <c r="EO77" s="232">
        <f t="shared" si="324"/>
        <v>0</v>
      </c>
      <c r="EP77" s="233">
        <f t="shared" si="110"/>
        <v>0</v>
      </c>
      <c r="EQ77" s="233">
        <f t="shared" si="111"/>
        <v>0</v>
      </c>
      <c r="ER77" s="233">
        <f t="shared" si="112"/>
        <v>0</v>
      </c>
      <c r="ES77" s="233">
        <f t="shared" si="113"/>
        <v>0</v>
      </c>
      <c r="ET77" s="233">
        <f t="shared" si="114"/>
        <v>0</v>
      </c>
      <c r="EU77" s="233">
        <f t="shared" si="115"/>
        <v>0</v>
      </c>
      <c r="EV77" s="233">
        <f t="shared" si="116"/>
        <v>0</v>
      </c>
      <c r="EW77" s="233">
        <f t="shared" si="117"/>
        <v>0</v>
      </c>
      <c r="EX77" s="233">
        <f t="shared" si="118"/>
        <v>0</v>
      </c>
      <c r="EY77" s="233">
        <f t="shared" si="353"/>
        <v>0</v>
      </c>
      <c r="EZ77" s="233">
        <f t="shared" si="119"/>
        <v>0</v>
      </c>
      <c r="FA77" s="326"/>
      <c r="FB77" s="234">
        <f t="shared" si="325"/>
        <v>0</v>
      </c>
      <c r="FC77" s="235">
        <f t="shared" si="137"/>
        <v>0</v>
      </c>
      <c r="FD77" s="235">
        <f t="shared" si="138"/>
        <v>0</v>
      </c>
      <c r="FE77" s="235">
        <f t="shared" si="139"/>
        <v>4090624.9999999995</v>
      </c>
      <c r="FF77" s="235">
        <f t="shared" si="140"/>
        <v>0</v>
      </c>
      <c r="FG77" s="235">
        <f t="shared" si="141"/>
        <v>0</v>
      </c>
      <c r="FH77" s="235">
        <f t="shared" si="142"/>
        <v>0</v>
      </c>
      <c r="FI77" s="235">
        <f t="shared" si="143"/>
        <v>0</v>
      </c>
      <c r="FJ77" s="235">
        <f t="shared" si="144"/>
        <v>0</v>
      </c>
      <c r="FK77" s="236">
        <f t="shared" si="145"/>
        <v>0</v>
      </c>
    </row>
    <row r="78" spans="1:167" s="6" customFormat="1">
      <c r="A78" s="186" t="s">
        <v>90</v>
      </c>
      <c r="B78" s="186" t="s">
        <v>89</v>
      </c>
      <c r="C78" s="187" t="s">
        <v>172</v>
      </c>
      <c r="D78" s="188">
        <f t="shared" si="354"/>
        <v>73</v>
      </c>
      <c r="E78" s="327" t="s">
        <v>327</v>
      </c>
      <c r="F78" s="154"/>
      <c r="G78" s="154"/>
      <c r="H78" s="154"/>
      <c r="I78" s="154"/>
      <c r="J78" s="154"/>
      <c r="K78" s="154"/>
      <c r="L78" s="156"/>
      <c r="M78" s="478"/>
      <c r="N78" s="327" t="s">
        <v>327</v>
      </c>
      <c r="O78" s="191"/>
      <c r="P78" s="191"/>
      <c r="Q78" s="191"/>
      <c r="R78" s="191"/>
      <c r="S78" s="189"/>
      <c r="T78" s="189"/>
      <c r="U78" s="193"/>
      <c r="V78" s="193"/>
      <c r="W78" s="326" t="s">
        <v>327</v>
      </c>
      <c r="X78" s="189">
        <v>0</v>
      </c>
      <c r="Y78" s="189">
        <v>0</v>
      </c>
      <c r="Z78" s="189">
        <v>0</v>
      </c>
      <c r="AA78" s="189">
        <v>0</v>
      </c>
      <c r="AB78" s="189">
        <v>250000.1</v>
      </c>
      <c r="AC78" s="189">
        <v>0</v>
      </c>
      <c r="AD78" s="189">
        <v>250000.1</v>
      </c>
      <c r="AE78" s="189" t="s">
        <v>843</v>
      </c>
      <c r="AF78" s="255" t="s">
        <v>907</v>
      </c>
      <c r="AG78" s="326" t="s">
        <v>327</v>
      </c>
      <c r="AH78" s="189"/>
      <c r="AI78" s="189"/>
      <c r="AJ78" s="189"/>
      <c r="AK78" s="189">
        <f t="shared" ref="AK78:AK79" si="363">AD78</f>
        <v>250000.1</v>
      </c>
      <c r="AL78" s="189"/>
      <c r="AM78" s="189"/>
      <c r="AN78" s="189">
        <f t="shared" ref="AN78:AN79" si="364">AK78</f>
        <v>250000.1</v>
      </c>
      <c r="AO78" s="189" t="str">
        <f t="shared" ref="AO78:AO79" si="365">AE78</f>
        <v>DOE estimate</v>
      </c>
      <c r="AP78" s="255" t="str">
        <f t="shared" ref="AP78:AP79" si="366">AF78</f>
        <v>Unverified</v>
      </c>
      <c r="AQ78" s="326" t="s">
        <v>327</v>
      </c>
      <c r="AR78" s="194" t="s">
        <v>775</v>
      </c>
      <c r="AS78" s="511">
        <v>0</v>
      </c>
      <c r="AT78" s="193"/>
      <c r="AU78" s="193"/>
      <c r="AV78" s="326" t="s">
        <v>327</v>
      </c>
      <c r="AW78" s="195">
        <v>0.7</v>
      </c>
      <c r="AX78" s="196">
        <v>1</v>
      </c>
      <c r="AY78" s="481" t="s">
        <v>249</v>
      </c>
      <c r="AZ78" s="193"/>
      <c r="BA78" s="193">
        <v>24</v>
      </c>
      <c r="BB78" s="193">
        <v>24</v>
      </c>
      <c r="BC78" s="193" t="s">
        <v>294</v>
      </c>
      <c r="BD78" s="193"/>
      <c r="BE78" s="193"/>
      <c r="BF78" s="197"/>
      <c r="BG78" s="326" t="s">
        <v>327</v>
      </c>
      <c r="BH78" s="195">
        <v>1</v>
      </c>
      <c r="BI78" s="196">
        <v>1</v>
      </c>
      <c r="BJ78" s="193" t="s">
        <v>408</v>
      </c>
      <c r="BK78" s="193"/>
      <c r="BL78" s="193">
        <v>24</v>
      </c>
      <c r="BM78" s="193">
        <v>108</v>
      </c>
      <c r="BN78" s="193" t="s">
        <v>322</v>
      </c>
      <c r="BO78" s="193"/>
      <c r="BP78" s="193"/>
      <c r="BQ78" s="193"/>
      <c r="BR78" s="326" t="s">
        <v>327</v>
      </c>
      <c r="BS78" s="198">
        <v>0</v>
      </c>
      <c r="BT78" s="198">
        <v>0</v>
      </c>
      <c r="BU78" s="198">
        <v>0</v>
      </c>
      <c r="BV78" s="198">
        <v>0</v>
      </c>
      <c r="BW78" s="198">
        <v>0</v>
      </c>
      <c r="BX78" s="198">
        <v>0</v>
      </c>
      <c r="BY78" s="198">
        <v>0</v>
      </c>
      <c r="BZ78" s="198">
        <v>0</v>
      </c>
      <c r="CA78" s="198">
        <v>0</v>
      </c>
      <c r="CB78" s="198">
        <v>0</v>
      </c>
      <c r="CC78" s="198">
        <v>0</v>
      </c>
      <c r="CD78" s="199">
        <v>1</v>
      </c>
      <c r="CE78" s="193" t="s">
        <v>249</v>
      </c>
      <c r="CF78" s="326" t="s">
        <v>327</v>
      </c>
      <c r="CG78" s="379">
        <v>0</v>
      </c>
      <c r="CH78" s="380">
        <v>0</v>
      </c>
      <c r="CI78" s="380">
        <v>0</v>
      </c>
      <c r="CJ78" s="380">
        <v>0</v>
      </c>
      <c r="CK78" s="380">
        <v>0</v>
      </c>
      <c r="CL78" s="380">
        <v>1</v>
      </c>
      <c r="CM78" s="380">
        <v>0</v>
      </c>
      <c r="CN78" s="380">
        <v>0</v>
      </c>
      <c r="CO78" s="380">
        <v>0</v>
      </c>
      <c r="CP78" s="386">
        <v>0</v>
      </c>
      <c r="CQ78" s="193" t="s">
        <v>249</v>
      </c>
      <c r="CR78" s="326" t="s">
        <v>327</v>
      </c>
      <c r="CS78" s="200">
        <f t="shared" si="330"/>
        <v>0</v>
      </c>
      <c r="CT78" s="154">
        <f t="shared" si="331"/>
        <v>0</v>
      </c>
      <c r="CU78" s="154">
        <f t="shared" si="332"/>
        <v>0</v>
      </c>
      <c r="CV78" s="154">
        <f t="shared" si="333"/>
        <v>0</v>
      </c>
      <c r="CW78" s="154">
        <f t="shared" si="334"/>
        <v>0</v>
      </c>
      <c r="CX78" s="154">
        <f t="shared" si="335"/>
        <v>0</v>
      </c>
      <c r="CY78" s="154">
        <f t="shared" si="336"/>
        <v>0</v>
      </c>
      <c r="CZ78" s="154">
        <f t="shared" si="337"/>
        <v>0</v>
      </c>
      <c r="DA78" s="154">
        <f t="shared" si="338"/>
        <v>0</v>
      </c>
      <c r="DB78" s="154">
        <f t="shared" si="339"/>
        <v>0</v>
      </c>
      <c r="DC78" s="154">
        <f t="shared" si="340"/>
        <v>0</v>
      </c>
      <c r="DD78" s="154">
        <f t="shared" si="341"/>
        <v>175000.07</v>
      </c>
      <c r="DE78" s="326"/>
      <c r="DF78" s="201">
        <f t="shared" si="342"/>
        <v>0</v>
      </c>
      <c r="DG78" s="202">
        <f t="shared" si="343"/>
        <v>0</v>
      </c>
      <c r="DH78" s="202">
        <f t="shared" si="344"/>
        <v>0</v>
      </c>
      <c r="DI78" s="202">
        <f t="shared" si="345"/>
        <v>0</v>
      </c>
      <c r="DJ78" s="202">
        <f t="shared" si="346"/>
        <v>0</v>
      </c>
      <c r="DK78" s="202">
        <f t="shared" si="347"/>
        <v>250000.1</v>
      </c>
      <c r="DL78" s="202">
        <f t="shared" si="348"/>
        <v>0</v>
      </c>
      <c r="DM78" s="202">
        <f t="shared" si="349"/>
        <v>0</v>
      </c>
      <c r="DN78" s="202">
        <f t="shared" si="350"/>
        <v>0</v>
      </c>
      <c r="DO78" s="203">
        <f t="shared" si="351"/>
        <v>0</v>
      </c>
      <c r="DP78" s="326" t="s">
        <v>327</v>
      </c>
      <c r="DQ78" s="200">
        <f t="shared" si="322"/>
        <v>0</v>
      </c>
      <c r="DR78" s="154">
        <f t="shared" si="100"/>
        <v>0</v>
      </c>
      <c r="DS78" s="154">
        <f t="shared" si="101"/>
        <v>0</v>
      </c>
      <c r="DT78" s="154">
        <f t="shared" si="102"/>
        <v>0</v>
      </c>
      <c r="DU78" s="154">
        <f t="shared" si="103"/>
        <v>0</v>
      </c>
      <c r="DV78" s="154">
        <f t="shared" si="104"/>
        <v>0</v>
      </c>
      <c r="DW78" s="154">
        <f t="shared" si="105"/>
        <v>0</v>
      </c>
      <c r="DX78" s="154">
        <f t="shared" si="106"/>
        <v>0</v>
      </c>
      <c r="DY78" s="154">
        <f t="shared" si="107"/>
        <v>0</v>
      </c>
      <c r="DZ78" s="154">
        <f t="shared" si="108"/>
        <v>0</v>
      </c>
      <c r="EA78" s="154">
        <f t="shared" si="352"/>
        <v>0</v>
      </c>
      <c r="EB78" s="154">
        <f t="shared" si="109"/>
        <v>175000.07</v>
      </c>
      <c r="EC78" s="326"/>
      <c r="ED78" s="201">
        <f t="shared" si="323"/>
        <v>0</v>
      </c>
      <c r="EE78" s="202">
        <f t="shared" si="128"/>
        <v>0</v>
      </c>
      <c r="EF78" s="202">
        <f t="shared" si="129"/>
        <v>0</v>
      </c>
      <c r="EG78" s="202">
        <f t="shared" si="130"/>
        <v>0</v>
      </c>
      <c r="EH78" s="202">
        <f t="shared" si="131"/>
        <v>0</v>
      </c>
      <c r="EI78" s="202">
        <f t="shared" si="132"/>
        <v>250000.1</v>
      </c>
      <c r="EJ78" s="202">
        <f t="shared" si="133"/>
        <v>0</v>
      </c>
      <c r="EK78" s="202">
        <f t="shared" si="134"/>
        <v>0</v>
      </c>
      <c r="EL78" s="202">
        <f t="shared" si="135"/>
        <v>0</v>
      </c>
      <c r="EM78" s="203">
        <f t="shared" si="136"/>
        <v>0</v>
      </c>
      <c r="EN78" s="326" t="s">
        <v>327</v>
      </c>
      <c r="EO78" s="200">
        <f t="shared" si="324"/>
        <v>0</v>
      </c>
      <c r="EP78" s="154">
        <f t="shared" si="110"/>
        <v>0</v>
      </c>
      <c r="EQ78" s="154">
        <f t="shared" si="111"/>
        <v>0</v>
      </c>
      <c r="ER78" s="154">
        <f t="shared" si="112"/>
        <v>0</v>
      </c>
      <c r="ES78" s="154">
        <f t="shared" si="113"/>
        <v>0</v>
      </c>
      <c r="ET78" s="154">
        <f t="shared" si="114"/>
        <v>0</v>
      </c>
      <c r="EU78" s="154">
        <f t="shared" si="115"/>
        <v>0</v>
      </c>
      <c r="EV78" s="154">
        <f t="shared" si="116"/>
        <v>0</v>
      </c>
      <c r="EW78" s="154">
        <f t="shared" si="117"/>
        <v>0</v>
      </c>
      <c r="EX78" s="154">
        <f t="shared" si="118"/>
        <v>0</v>
      </c>
      <c r="EY78" s="154">
        <f t="shared" si="353"/>
        <v>0</v>
      </c>
      <c r="EZ78" s="154">
        <f t="shared" si="119"/>
        <v>0</v>
      </c>
      <c r="FA78" s="326"/>
      <c r="FB78" s="201">
        <f t="shared" si="325"/>
        <v>0</v>
      </c>
      <c r="FC78" s="202">
        <f t="shared" si="137"/>
        <v>0</v>
      </c>
      <c r="FD78" s="202">
        <f t="shared" si="138"/>
        <v>0</v>
      </c>
      <c r="FE78" s="202">
        <f t="shared" si="139"/>
        <v>0</v>
      </c>
      <c r="FF78" s="202">
        <f t="shared" si="140"/>
        <v>0</v>
      </c>
      <c r="FG78" s="202">
        <f t="shared" si="141"/>
        <v>0</v>
      </c>
      <c r="FH78" s="202">
        <f t="shared" si="142"/>
        <v>0</v>
      </c>
      <c r="FI78" s="202">
        <f t="shared" si="143"/>
        <v>0</v>
      </c>
      <c r="FJ78" s="202">
        <f t="shared" si="144"/>
        <v>0</v>
      </c>
      <c r="FK78" s="203">
        <f t="shared" si="145"/>
        <v>0</v>
      </c>
    </row>
    <row r="79" spans="1:167" s="6" customFormat="1">
      <c r="A79" s="204" t="s">
        <v>90</v>
      </c>
      <c r="B79" s="204" t="s">
        <v>89</v>
      </c>
      <c r="C79" s="205" t="s">
        <v>142</v>
      </c>
      <c r="D79" s="206">
        <f t="shared" si="354"/>
        <v>74</v>
      </c>
      <c r="E79" s="327" t="s">
        <v>327</v>
      </c>
      <c r="F79" s="219"/>
      <c r="G79" s="219"/>
      <c r="H79" s="219"/>
      <c r="I79" s="219"/>
      <c r="J79" s="219"/>
      <c r="K79" s="219"/>
      <c r="L79" s="479"/>
      <c r="M79" s="480"/>
      <c r="N79" s="327" t="s">
        <v>327</v>
      </c>
      <c r="O79" s="209"/>
      <c r="P79" s="209"/>
      <c r="Q79" s="209"/>
      <c r="R79" s="209"/>
      <c r="S79" s="207"/>
      <c r="T79" s="207"/>
      <c r="U79" s="211"/>
      <c r="V79" s="211"/>
      <c r="W79" s="326" t="s">
        <v>327</v>
      </c>
      <c r="X79" s="207">
        <v>0</v>
      </c>
      <c r="Y79" s="207">
        <v>0</v>
      </c>
      <c r="Z79" s="207">
        <v>0</v>
      </c>
      <c r="AA79" s="207">
        <v>120000</v>
      </c>
      <c r="AB79" s="207">
        <v>150000</v>
      </c>
      <c r="AC79" s="207">
        <v>200000</v>
      </c>
      <c r="AD79" s="207">
        <v>150000</v>
      </c>
      <c r="AE79" s="207" t="s">
        <v>940</v>
      </c>
      <c r="AF79" s="211" t="s">
        <v>327</v>
      </c>
      <c r="AG79" s="326" t="s">
        <v>327</v>
      </c>
      <c r="AH79" s="207"/>
      <c r="AI79" s="207"/>
      <c r="AJ79" s="207"/>
      <c r="AK79" s="207">
        <f t="shared" si="363"/>
        <v>150000</v>
      </c>
      <c r="AL79" s="207"/>
      <c r="AM79" s="207"/>
      <c r="AN79" s="207">
        <f t="shared" si="364"/>
        <v>150000</v>
      </c>
      <c r="AO79" s="207" t="str">
        <f t="shared" si="365"/>
        <v>Goodman 2010</v>
      </c>
      <c r="AP79" s="211" t="str">
        <f t="shared" si="366"/>
        <v xml:space="preserve"> </v>
      </c>
      <c r="AQ79" s="326" t="s">
        <v>327</v>
      </c>
      <c r="AR79" s="212" t="s">
        <v>775</v>
      </c>
      <c r="AS79" s="512">
        <v>0</v>
      </c>
      <c r="AT79" s="211"/>
      <c r="AU79" s="211"/>
      <c r="AV79" s="326" t="s">
        <v>327</v>
      </c>
      <c r="AW79" s="213">
        <v>0.7</v>
      </c>
      <c r="AX79" s="214">
        <v>1</v>
      </c>
      <c r="AY79" s="479" t="s">
        <v>249</v>
      </c>
      <c r="AZ79" s="211"/>
      <c r="BA79" s="211">
        <v>30</v>
      </c>
      <c r="BB79" s="211">
        <v>60</v>
      </c>
      <c r="BC79" s="211" t="s">
        <v>294</v>
      </c>
      <c r="BD79" s="211"/>
      <c r="BE79" s="211"/>
      <c r="BF79" s="215"/>
      <c r="BG79" s="326" t="s">
        <v>327</v>
      </c>
      <c r="BH79" s="213">
        <v>1</v>
      </c>
      <c r="BI79" s="214">
        <v>1</v>
      </c>
      <c r="BJ79" s="211" t="s">
        <v>408</v>
      </c>
      <c r="BK79" s="211"/>
      <c r="BL79" s="211">
        <v>24</v>
      </c>
      <c r="BM79" s="211">
        <v>240</v>
      </c>
      <c r="BN79" s="211" t="s">
        <v>294</v>
      </c>
      <c r="BO79" s="211"/>
      <c r="BP79" s="211"/>
      <c r="BQ79" s="211"/>
      <c r="BR79" s="326" t="s">
        <v>327</v>
      </c>
      <c r="BS79" s="216">
        <v>0</v>
      </c>
      <c r="BT79" s="216">
        <v>0</v>
      </c>
      <c r="BU79" s="216">
        <v>0</v>
      </c>
      <c r="BV79" s="216">
        <v>0</v>
      </c>
      <c r="BW79" s="216">
        <v>0</v>
      </c>
      <c r="BX79" s="216">
        <v>0</v>
      </c>
      <c r="BY79" s="216">
        <v>0</v>
      </c>
      <c r="BZ79" s="216">
        <v>0</v>
      </c>
      <c r="CA79" s="216">
        <v>0</v>
      </c>
      <c r="CB79" s="216">
        <v>0</v>
      </c>
      <c r="CC79" s="216">
        <v>0</v>
      </c>
      <c r="CD79" s="217">
        <v>1</v>
      </c>
      <c r="CE79" s="211" t="s">
        <v>447</v>
      </c>
      <c r="CF79" s="326" t="s">
        <v>327</v>
      </c>
      <c r="CG79" s="377">
        <v>0</v>
      </c>
      <c r="CH79" s="378">
        <v>0</v>
      </c>
      <c r="CI79" s="378">
        <v>0</v>
      </c>
      <c r="CJ79" s="378">
        <v>0</v>
      </c>
      <c r="CK79" s="378">
        <v>0</v>
      </c>
      <c r="CL79" s="378">
        <v>1</v>
      </c>
      <c r="CM79" s="378">
        <v>0</v>
      </c>
      <c r="CN79" s="378">
        <v>0</v>
      </c>
      <c r="CO79" s="378">
        <v>0</v>
      </c>
      <c r="CP79" s="385">
        <v>0</v>
      </c>
      <c r="CQ79" s="211" t="s">
        <v>447</v>
      </c>
      <c r="CR79" s="326" t="s">
        <v>327</v>
      </c>
      <c r="CS79" s="218">
        <f t="shared" si="330"/>
        <v>0</v>
      </c>
      <c r="CT79" s="219">
        <f t="shared" si="331"/>
        <v>0</v>
      </c>
      <c r="CU79" s="219">
        <f t="shared" si="332"/>
        <v>0</v>
      </c>
      <c r="CV79" s="219">
        <f t="shared" si="333"/>
        <v>0</v>
      </c>
      <c r="CW79" s="219">
        <f t="shared" si="334"/>
        <v>0</v>
      </c>
      <c r="CX79" s="219">
        <f t="shared" si="335"/>
        <v>0</v>
      </c>
      <c r="CY79" s="219">
        <f t="shared" si="336"/>
        <v>0</v>
      </c>
      <c r="CZ79" s="219">
        <f t="shared" si="337"/>
        <v>0</v>
      </c>
      <c r="DA79" s="219">
        <f t="shared" si="338"/>
        <v>0</v>
      </c>
      <c r="DB79" s="219">
        <f t="shared" si="339"/>
        <v>0</v>
      </c>
      <c r="DC79" s="219">
        <f t="shared" si="340"/>
        <v>0</v>
      </c>
      <c r="DD79" s="219">
        <f t="shared" si="341"/>
        <v>105000</v>
      </c>
      <c r="DE79" s="326"/>
      <c r="DF79" s="220">
        <f t="shared" si="342"/>
        <v>0</v>
      </c>
      <c r="DG79" s="221">
        <f t="shared" si="343"/>
        <v>0</v>
      </c>
      <c r="DH79" s="221">
        <f t="shared" si="344"/>
        <v>0</v>
      </c>
      <c r="DI79" s="221">
        <f t="shared" si="345"/>
        <v>0</v>
      </c>
      <c r="DJ79" s="221">
        <f t="shared" si="346"/>
        <v>0</v>
      </c>
      <c r="DK79" s="221">
        <f t="shared" si="347"/>
        <v>150000</v>
      </c>
      <c r="DL79" s="221">
        <f t="shared" si="348"/>
        <v>0</v>
      </c>
      <c r="DM79" s="221">
        <f t="shared" si="349"/>
        <v>0</v>
      </c>
      <c r="DN79" s="221">
        <f t="shared" si="350"/>
        <v>0</v>
      </c>
      <c r="DO79" s="222">
        <f t="shared" si="351"/>
        <v>0</v>
      </c>
      <c r="DP79" s="326" t="s">
        <v>327</v>
      </c>
      <c r="DQ79" s="218">
        <f t="shared" si="322"/>
        <v>0</v>
      </c>
      <c r="DR79" s="219">
        <f t="shared" si="100"/>
        <v>0</v>
      </c>
      <c r="DS79" s="219">
        <f t="shared" si="101"/>
        <v>0</v>
      </c>
      <c r="DT79" s="219">
        <f t="shared" si="102"/>
        <v>0</v>
      </c>
      <c r="DU79" s="219">
        <f t="shared" si="103"/>
        <v>0</v>
      </c>
      <c r="DV79" s="219">
        <f t="shared" si="104"/>
        <v>0</v>
      </c>
      <c r="DW79" s="219">
        <f t="shared" si="105"/>
        <v>0</v>
      </c>
      <c r="DX79" s="219">
        <f t="shared" si="106"/>
        <v>0</v>
      </c>
      <c r="DY79" s="219">
        <f t="shared" si="107"/>
        <v>0</v>
      </c>
      <c r="DZ79" s="219">
        <f t="shared" si="108"/>
        <v>0</v>
      </c>
      <c r="EA79" s="219">
        <f t="shared" si="352"/>
        <v>0</v>
      </c>
      <c r="EB79" s="219">
        <f t="shared" si="109"/>
        <v>105000</v>
      </c>
      <c r="EC79" s="326"/>
      <c r="ED79" s="220">
        <f t="shared" si="323"/>
        <v>0</v>
      </c>
      <c r="EE79" s="221">
        <f t="shared" si="128"/>
        <v>0</v>
      </c>
      <c r="EF79" s="221">
        <f t="shared" si="129"/>
        <v>0</v>
      </c>
      <c r="EG79" s="221">
        <f t="shared" si="130"/>
        <v>0</v>
      </c>
      <c r="EH79" s="221">
        <f t="shared" si="131"/>
        <v>0</v>
      </c>
      <c r="EI79" s="221">
        <f t="shared" si="132"/>
        <v>150000</v>
      </c>
      <c r="EJ79" s="221">
        <f t="shared" si="133"/>
        <v>0</v>
      </c>
      <c r="EK79" s="221">
        <f t="shared" si="134"/>
        <v>0</v>
      </c>
      <c r="EL79" s="221">
        <f t="shared" si="135"/>
        <v>0</v>
      </c>
      <c r="EM79" s="222">
        <f t="shared" si="136"/>
        <v>0</v>
      </c>
      <c r="EN79" s="326" t="s">
        <v>327</v>
      </c>
      <c r="EO79" s="218">
        <f t="shared" si="324"/>
        <v>0</v>
      </c>
      <c r="EP79" s="219">
        <f t="shared" si="110"/>
        <v>0</v>
      </c>
      <c r="EQ79" s="219">
        <f t="shared" si="111"/>
        <v>0</v>
      </c>
      <c r="ER79" s="219">
        <f t="shared" si="112"/>
        <v>0</v>
      </c>
      <c r="ES79" s="219">
        <f t="shared" si="113"/>
        <v>0</v>
      </c>
      <c r="ET79" s="219">
        <f t="shared" si="114"/>
        <v>0</v>
      </c>
      <c r="EU79" s="219">
        <f t="shared" si="115"/>
        <v>0</v>
      </c>
      <c r="EV79" s="219">
        <f t="shared" si="116"/>
        <v>0</v>
      </c>
      <c r="EW79" s="219">
        <f t="shared" si="117"/>
        <v>0</v>
      </c>
      <c r="EX79" s="219">
        <f t="shared" si="118"/>
        <v>0</v>
      </c>
      <c r="EY79" s="219">
        <f t="shared" si="353"/>
        <v>0</v>
      </c>
      <c r="EZ79" s="219">
        <f t="shared" si="119"/>
        <v>0</v>
      </c>
      <c r="FA79" s="326"/>
      <c r="FB79" s="220">
        <f t="shared" si="325"/>
        <v>0</v>
      </c>
      <c r="FC79" s="221">
        <f t="shared" si="137"/>
        <v>0</v>
      </c>
      <c r="FD79" s="221">
        <f t="shared" si="138"/>
        <v>0</v>
      </c>
      <c r="FE79" s="221">
        <f t="shared" si="139"/>
        <v>0</v>
      </c>
      <c r="FF79" s="221">
        <f t="shared" si="140"/>
        <v>0</v>
      </c>
      <c r="FG79" s="221">
        <f t="shared" si="141"/>
        <v>0</v>
      </c>
      <c r="FH79" s="221">
        <f t="shared" si="142"/>
        <v>0</v>
      </c>
      <c r="FI79" s="221">
        <f t="shared" si="143"/>
        <v>0</v>
      </c>
      <c r="FJ79" s="221">
        <f t="shared" si="144"/>
        <v>0</v>
      </c>
      <c r="FK79" s="222">
        <f t="shared" si="145"/>
        <v>0</v>
      </c>
    </row>
    <row r="80" spans="1:167" s="6" customFormat="1" ht="13.5" customHeight="1">
      <c r="A80" s="186" t="s">
        <v>90</v>
      </c>
      <c r="B80" s="186" t="s">
        <v>89</v>
      </c>
      <c r="C80" s="187" t="s">
        <v>143</v>
      </c>
      <c r="D80" s="188">
        <f t="shared" si="354"/>
        <v>75</v>
      </c>
      <c r="E80" s="327" t="s">
        <v>327</v>
      </c>
      <c r="F80" s="154">
        <v>188620</v>
      </c>
      <c r="G80" s="154">
        <v>197290</v>
      </c>
      <c r="H80" s="154">
        <v>203150</v>
      </c>
      <c r="I80" s="154">
        <v>210620</v>
      </c>
      <c r="J80" s="154">
        <v>217520</v>
      </c>
      <c r="K80" s="154"/>
      <c r="L80" s="481" t="s">
        <v>901</v>
      </c>
      <c r="M80" s="478" t="s">
        <v>855</v>
      </c>
      <c r="N80" s="327" t="s">
        <v>327</v>
      </c>
      <c r="O80" s="191"/>
      <c r="P80" s="191"/>
      <c r="Q80" s="191"/>
      <c r="R80" s="191"/>
      <c r="S80" s="189"/>
      <c r="T80" s="189"/>
      <c r="U80" s="193"/>
      <c r="V80" s="193"/>
      <c r="W80" s="326" t="s">
        <v>327</v>
      </c>
      <c r="X80" s="189">
        <v>0</v>
      </c>
      <c r="Y80" s="189">
        <v>0</v>
      </c>
      <c r="Z80" s="189">
        <v>199938</v>
      </c>
      <c r="AA80" s="189">
        <v>206905</v>
      </c>
      <c r="AB80" s="189">
        <v>213731</v>
      </c>
      <c r="AC80" s="189">
        <v>224510</v>
      </c>
      <c r="AD80" s="189">
        <v>213731</v>
      </c>
      <c r="AE80" s="189" t="s">
        <v>941</v>
      </c>
      <c r="AF80" s="193" t="s">
        <v>350</v>
      </c>
      <c r="AG80" s="326" t="s">
        <v>327</v>
      </c>
      <c r="AH80" s="189">
        <f t="shared" ref="AH80:AM81" si="367">F80</f>
        <v>188620</v>
      </c>
      <c r="AI80" s="189">
        <f t="shared" si="367"/>
        <v>197290</v>
      </c>
      <c r="AJ80" s="189">
        <f t="shared" si="367"/>
        <v>203150</v>
      </c>
      <c r="AK80" s="189">
        <f t="shared" si="367"/>
        <v>210620</v>
      </c>
      <c r="AL80" s="189">
        <f t="shared" si="367"/>
        <v>217520</v>
      </c>
      <c r="AM80" s="189">
        <f t="shared" si="367"/>
        <v>0</v>
      </c>
      <c r="AN80" s="189">
        <f>AK80</f>
        <v>210620</v>
      </c>
      <c r="AO80" s="189" t="str">
        <f>L80</f>
        <v>International Market Solutions 2007</v>
      </c>
      <c r="AP80" s="193" t="str">
        <f>M80</f>
        <v>Forecast for electric vehicles based on 2006 sales of new golf cars to individuals and businesses</v>
      </c>
      <c r="AQ80" s="326" t="s">
        <v>327</v>
      </c>
      <c r="AR80" s="198" t="s">
        <v>776</v>
      </c>
      <c r="AS80" s="511">
        <v>0.89400000000000002</v>
      </c>
      <c r="AT80" s="481" t="s">
        <v>853</v>
      </c>
      <c r="AU80" s="481" t="s">
        <v>854</v>
      </c>
      <c r="AV80" s="326" t="s">
        <v>327</v>
      </c>
      <c r="AW80" s="195">
        <v>0</v>
      </c>
      <c r="AX80" s="196">
        <v>1</v>
      </c>
      <c r="AY80" s="193" t="s">
        <v>274</v>
      </c>
      <c r="AZ80" s="193"/>
      <c r="BA80" s="193" t="s">
        <v>283</v>
      </c>
      <c r="BB80" s="193" t="s">
        <v>283</v>
      </c>
      <c r="BC80" s="193" t="s">
        <v>283</v>
      </c>
      <c r="BD80" s="193"/>
      <c r="BE80" s="193"/>
      <c r="BF80" s="197"/>
      <c r="BG80" s="326" t="s">
        <v>327</v>
      </c>
      <c r="BH80" s="195">
        <v>1</v>
      </c>
      <c r="BI80" s="196">
        <v>1</v>
      </c>
      <c r="BJ80" s="193" t="s">
        <v>408</v>
      </c>
      <c r="BK80" s="193"/>
      <c r="BL80" s="193">
        <v>48</v>
      </c>
      <c r="BM80" s="193">
        <v>3725</v>
      </c>
      <c r="BN80" s="193" t="s">
        <v>316</v>
      </c>
      <c r="BO80" s="193"/>
      <c r="BP80" s="193"/>
      <c r="BQ80" s="193"/>
      <c r="BR80" s="326" t="s">
        <v>327</v>
      </c>
      <c r="BS80" s="198">
        <v>0</v>
      </c>
      <c r="BT80" s="198">
        <v>0</v>
      </c>
      <c r="BU80" s="198">
        <v>0</v>
      </c>
      <c r="BV80" s="198">
        <v>0</v>
      </c>
      <c r="BW80" s="198">
        <v>0</v>
      </c>
      <c r="BX80" s="198">
        <v>0</v>
      </c>
      <c r="BY80" s="198">
        <v>0</v>
      </c>
      <c r="BZ80" s="198">
        <v>0</v>
      </c>
      <c r="CA80" s="198">
        <v>0</v>
      </c>
      <c r="CB80" s="198">
        <v>0</v>
      </c>
      <c r="CC80" s="198">
        <v>0</v>
      </c>
      <c r="CD80" s="199">
        <v>0</v>
      </c>
      <c r="CE80" s="193" t="s">
        <v>249</v>
      </c>
      <c r="CF80" s="326" t="s">
        <v>327</v>
      </c>
      <c r="CG80" s="379">
        <v>0</v>
      </c>
      <c r="CH80" s="380">
        <v>0</v>
      </c>
      <c r="CI80" s="380">
        <v>0</v>
      </c>
      <c r="CJ80" s="380">
        <v>0</v>
      </c>
      <c r="CK80" s="380">
        <v>0</v>
      </c>
      <c r="CL80" s="380">
        <v>0</v>
      </c>
      <c r="CM80" s="380">
        <v>1</v>
      </c>
      <c r="CN80" s="380">
        <v>0</v>
      </c>
      <c r="CO80" s="380">
        <v>0</v>
      </c>
      <c r="CP80" s="386">
        <v>0</v>
      </c>
      <c r="CQ80" s="193" t="s">
        <v>249</v>
      </c>
      <c r="CR80" s="326" t="s">
        <v>327</v>
      </c>
      <c r="CS80" s="200">
        <f t="shared" si="330"/>
        <v>0</v>
      </c>
      <c r="CT80" s="154">
        <f t="shared" si="331"/>
        <v>0</v>
      </c>
      <c r="CU80" s="154">
        <f t="shared" si="332"/>
        <v>0</v>
      </c>
      <c r="CV80" s="154">
        <f t="shared" si="333"/>
        <v>0</v>
      </c>
      <c r="CW80" s="154">
        <f t="shared" si="334"/>
        <v>0</v>
      </c>
      <c r="CX80" s="154">
        <f t="shared" si="335"/>
        <v>0</v>
      </c>
      <c r="CY80" s="154">
        <f t="shared" si="336"/>
        <v>0</v>
      </c>
      <c r="CZ80" s="154">
        <f t="shared" si="337"/>
        <v>0</v>
      </c>
      <c r="DA80" s="154">
        <f t="shared" si="338"/>
        <v>0</v>
      </c>
      <c r="DB80" s="154">
        <f t="shared" si="339"/>
        <v>0</v>
      </c>
      <c r="DC80" s="154">
        <f t="shared" si="340"/>
        <v>0</v>
      </c>
      <c r="DD80" s="154">
        <f t="shared" si="341"/>
        <v>0</v>
      </c>
      <c r="DE80" s="326"/>
      <c r="DF80" s="201">
        <f t="shared" si="342"/>
        <v>0</v>
      </c>
      <c r="DG80" s="202">
        <f t="shared" si="343"/>
        <v>0</v>
      </c>
      <c r="DH80" s="202">
        <f t="shared" si="344"/>
        <v>0</v>
      </c>
      <c r="DI80" s="202">
        <f t="shared" si="345"/>
        <v>0</v>
      </c>
      <c r="DJ80" s="202">
        <f t="shared" si="346"/>
        <v>0</v>
      </c>
      <c r="DK80" s="202">
        <f t="shared" si="347"/>
        <v>0</v>
      </c>
      <c r="DL80" s="202">
        <f t="shared" si="348"/>
        <v>210620</v>
      </c>
      <c r="DM80" s="202">
        <f t="shared" si="349"/>
        <v>0</v>
      </c>
      <c r="DN80" s="202">
        <f t="shared" si="350"/>
        <v>0</v>
      </c>
      <c r="DO80" s="203">
        <f t="shared" si="351"/>
        <v>0</v>
      </c>
      <c r="DP80" s="326" t="s">
        <v>327</v>
      </c>
      <c r="DQ80" s="200">
        <f t="shared" si="322"/>
        <v>0</v>
      </c>
      <c r="DR80" s="154">
        <f t="shared" si="100"/>
        <v>0</v>
      </c>
      <c r="DS80" s="154">
        <f t="shared" si="101"/>
        <v>0</v>
      </c>
      <c r="DT80" s="154">
        <f t="shared" si="102"/>
        <v>0</v>
      </c>
      <c r="DU80" s="154">
        <f t="shared" si="103"/>
        <v>0</v>
      </c>
      <c r="DV80" s="154">
        <f t="shared" si="104"/>
        <v>0</v>
      </c>
      <c r="DW80" s="154">
        <f t="shared" si="105"/>
        <v>0</v>
      </c>
      <c r="DX80" s="154">
        <f t="shared" si="106"/>
        <v>0</v>
      </c>
      <c r="DY80" s="154">
        <f t="shared" si="107"/>
        <v>0</v>
      </c>
      <c r="DZ80" s="154">
        <f t="shared" si="108"/>
        <v>0</v>
      </c>
      <c r="EA80" s="154">
        <f t="shared" si="352"/>
        <v>0</v>
      </c>
      <c r="EB80" s="154">
        <f t="shared" si="109"/>
        <v>0</v>
      </c>
      <c r="EC80" s="326"/>
      <c r="ED80" s="201">
        <f t="shared" si="323"/>
        <v>0</v>
      </c>
      <c r="EE80" s="202">
        <f t="shared" si="128"/>
        <v>0</v>
      </c>
      <c r="EF80" s="202">
        <f t="shared" si="129"/>
        <v>0</v>
      </c>
      <c r="EG80" s="202">
        <f t="shared" si="130"/>
        <v>0</v>
      </c>
      <c r="EH80" s="202">
        <f t="shared" si="131"/>
        <v>0</v>
      </c>
      <c r="EI80" s="202">
        <f t="shared" si="132"/>
        <v>0</v>
      </c>
      <c r="EJ80" s="202">
        <f t="shared" si="133"/>
        <v>22325.719999999998</v>
      </c>
      <c r="EK80" s="202">
        <f t="shared" si="134"/>
        <v>0</v>
      </c>
      <c r="EL80" s="202">
        <f t="shared" si="135"/>
        <v>0</v>
      </c>
      <c r="EM80" s="203">
        <f t="shared" si="136"/>
        <v>0</v>
      </c>
      <c r="EN80" s="326" t="s">
        <v>327</v>
      </c>
      <c r="EO80" s="200">
        <f t="shared" si="324"/>
        <v>0</v>
      </c>
      <c r="EP80" s="154">
        <f t="shared" si="110"/>
        <v>0</v>
      </c>
      <c r="EQ80" s="154">
        <f t="shared" si="111"/>
        <v>0</v>
      </c>
      <c r="ER80" s="154">
        <f t="shared" si="112"/>
        <v>0</v>
      </c>
      <c r="ES80" s="154">
        <f t="shared" si="113"/>
        <v>0</v>
      </c>
      <c r="ET80" s="154">
        <f t="shared" si="114"/>
        <v>0</v>
      </c>
      <c r="EU80" s="154">
        <f t="shared" si="115"/>
        <v>0</v>
      </c>
      <c r="EV80" s="154">
        <f t="shared" si="116"/>
        <v>0</v>
      </c>
      <c r="EW80" s="154">
        <f t="shared" si="117"/>
        <v>0</v>
      </c>
      <c r="EX80" s="154">
        <f t="shared" si="118"/>
        <v>0</v>
      </c>
      <c r="EY80" s="154">
        <f t="shared" si="353"/>
        <v>0</v>
      </c>
      <c r="EZ80" s="154">
        <f t="shared" si="119"/>
        <v>0</v>
      </c>
      <c r="FA80" s="326"/>
      <c r="FB80" s="201">
        <f t="shared" si="325"/>
        <v>0</v>
      </c>
      <c r="FC80" s="202">
        <f t="shared" si="137"/>
        <v>0</v>
      </c>
      <c r="FD80" s="202">
        <f t="shared" si="138"/>
        <v>0</v>
      </c>
      <c r="FE80" s="202">
        <f t="shared" si="139"/>
        <v>0</v>
      </c>
      <c r="FF80" s="202">
        <f t="shared" si="140"/>
        <v>0</v>
      </c>
      <c r="FG80" s="202">
        <f t="shared" si="141"/>
        <v>0</v>
      </c>
      <c r="FH80" s="202">
        <f t="shared" si="142"/>
        <v>188294.28</v>
      </c>
      <c r="FI80" s="202">
        <f t="shared" si="143"/>
        <v>0</v>
      </c>
      <c r="FJ80" s="202">
        <f t="shared" si="144"/>
        <v>0</v>
      </c>
      <c r="FK80" s="203">
        <f t="shared" si="145"/>
        <v>0</v>
      </c>
    </row>
    <row r="81" spans="1:167" s="6" customFormat="1">
      <c r="A81" s="240" t="s">
        <v>90</v>
      </c>
      <c r="B81" s="204" t="s">
        <v>89</v>
      </c>
      <c r="C81" s="205" t="s">
        <v>144</v>
      </c>
      <c r="D81" s="206">
        <f t="shared" si="354"/>
        <v>76</v>
      </c>
      <c r="E81" s="327" t="s">
        <v>327</v>
      </c>
      <c r="F81" s="219"/>
      <c r="G81" s="219"/>
      <c r="H81" s="219">
        <v>8539000</v>
      </c>
      <c r="I81" s="219">
        <v>8089900</v>
      </c>
      <c r="J81" s="219"/>
      <c r="K81" s="219"/>
      <c r="L81" s="290" t="s">
        <v>902</v>
      </c>
      <c r="M81" s="480" t="s">
        <v>849</v>
      </c>
      <c r="N81" s="327" t="s">
        <v>327</v>
      </c>
      <c r="O81" s="207"/>
      <c r="P81" s="207"/>
      <c r="Q81" s="207"/>
      <c r="R81" s="207"/>
      <c r="S81" s="207"/>
      <c r="T81" s="207"/>
      <c r="U81" s="211"/>
      <c r="V81" s="211"/>
      <c r="W81" s="326" t="s">
        <v>327</v>
      </c>
      <c r="X81" s="207">
        <v>0</v>
      </c>
      <c r="Y81" s="207">
        <v>0</v>
      </c>
      <c r="Z81" s="207">
        <v>0</v>
      </c>
      <c r="AA81" s="207">
        <v>0</v>
      </c>
      <c r="AB81" s="207">
        <v>7095382</v>
      </c>
      <c r="AC81" s="207">
        <v>0</v>
      </c>
      <c r="AD81" s="208">
        <v>7095382</v>
      </c>
      <c r="AE81" s="479" t="s">
        <v>944</v>
      </c>
      <c r="AF81" s="215" t="s">
        <v>185</v>
      </c>
      <c r="AG81" s="326" t="s">
        <v>327</v>
      </c>
      <c r="AH81" s="207">
        <f t="shared" si="367"/>
        <v>0</v>
      </c>
      <c r="AI81" s="207">
        <f t="shared" si="367"/>
        <v>0</v>
      </c>
      <c r="AJ81" s="207">
        <f t="shared" si="367"/>
        <v>8539000</v>
      </c>
      <c r="AK81" s="207">
        <f t="shared" si="367"/>
        <v>8089900</v>
      </c>
      <c r="AL81" s="207">
        <f t="shared" si="367"/>
        <v>0</v>
      </c>
      <c r="AM81" s="207">
        <f t="shared" si="367"/>
        <v>0</v>
      </c>
      <c r="AN81" s="208">
        <f t="shared" si="317"/>
        <v>8089900</v>
      </c>
      <c r="AO81" s="207" t="str">
        <f>L81</f>
        <v>TIA 2010</v>
      </c>
      <c r="AP81" s="207" t="str">
        <f>M81</f>
        <v>Divided annual sales ($) by average retail price of surveyed toy ride-on vehicles ($222.5)</v>
      </c>
      <c r="AQ81" s="326" t="s">
        <v>327</v>
      </c>
      <c r="AR81" s="212" t="s">
        <v>775</v>
      </c>
      <c r="AS81" s="512">
        <v>0</v>
      </c>
      <c r="AT81" s="211"/>
      <c r="AU81" s="211"/>
      <c r="AV81" s="326" t="s">
        <v>327</v>
      </c>
      <c r="AW81" s="213">
        <v>0</v>
      </c>
      <c r="AX81" s="214">
        <v>1</v>
      </c>
      <c r="AY81" s="479" t="s">
        <v>272</v>
      </c>
      <c r="AZ81" s="479"/>
      <c r="BA81" s="479" t="s">
        <v>283</v>
      </c>
      <c r="BB81" s="211"/>
      <c r="BC81" s="211"/>
      <c r="BD81" s="211"/>
      <c r="BE81" s="211"/>
      <c r="BF81" s="215"/>
      <c r="BG81" s="326" t="s">
        <v>327</v>
      </c>
      <c r="BH81" s="213">
        <v>1</v>
      </c>
      <c r="BI81" s="214">
        <v>1</v>
      </c>
      <c r="BJ81" s="479" t="s">
        <v>272</v>
      </c>
      <c r="BK81" s="211" t="s">
        <v>408</v>
      </c>
      <c r="BL81" s="237">
        <v>12</v>
      </c>
      <c r="BM81" s="237">
        <v>144</v>
      </c>
      <c r="BN81" s="479" t="s">
        <v>272</v>
      </c>
      <c r="BO81" s="211">
        <v>6</v>
      </c>
      <c r="BP81" s="211">
        <v>27.4</v>
      </c>
      <c r="BQ81" s="211" t="s">
        <v>334</v>
      </c>
      <c r="BR81" s="326" t="s">
        <v>327</v>
      </c>
      <c r="BS81" s="216">
        <v>0</v>
      </c>
      <c r="BT81" s="216">
        <v>0</v>
      </c>
      <c r="BU81" s="216">
        <v>0</v>
      </c>
      <c r="BV81" s="216">
        <v>0</v>
      </c>
      <c r="BW81" s="216">
        <v>0</v>
      </c>
      <c r="BX81" s="216">
        <v>0</v>
      </c>
      <c r="BY81" s="216">
        <v>0</v>
      </c>
      <c r="BZ81" s="216">
        <v>0</v>
      </c>
      <c r="CA81" s="216">
        <v>0</v>
      </c>
      <c r="CB81" s="216">
        <v>0</v>
      </c>
      <c r="CC81" s="216">
        <v>0</v>
      </c>
      <c r="CD81" s="217">
        <v>0</v>
      </c>
      <c r="CE81" s="211" t="s">
        <v>249</v>
      </c>
      <c r="CF81" s="326" t="s">
        <v>327</v>
      </c>
      <c r="CG81" s="377">
        <v>0</v>
      </c>
      <c r="CH81" s="378">
        <v>0</v>
      </c>
      <c r="CI81" s="378">
        <v>0.5</v>
      </c>
      <c r="CJ81" s="378">
        <v>0</v>
      </c>
      <c r="CK81" s="378">
        <v>0.5</v>
      </c>
      <c r="CL81" s="378">
        <v>0</v>
      </c>
      <c r="CM81" s="378">
        <v>0</v>
      </c>
      <c r="CN81" s="378">
        <v>0</v>
      </c>
      <c r="CO81" s="378">
        <v>0</v>
      </c>
      <c r="CP81" s="385">
        <v>0</v>
      </c>
      <c r="CQ81" s="479" t="s">
        <v>272</v>
      </c>
      <c r="CR81" s="326" t="s">
        <v>327</v>
      </c>
      <c r="CS81" s="218">
        <f t="shared" si="330"/>
        <v>0</v>
      </c>
      <c r="CT81" s="219">
        <f t="shared" si="331"/>
        <v>0</v>
      </c>
      <c r="CU81" s="219">
        <f t="shared" si="332"/>
        <v>0</v>
      </c>
      <c r="CV81" s="219">
        <f t="shared" si="333"/>
        <v>0</v>
      </c>
      <c r="CW81" s="219">
        <f t="shared" si="334"/>
        <v>0</v>
      </c>
      <c r="CX81" s="219">
        <f t="shared" si="335"/>
        <v>0</v>
      </c>
      <c r="CY81" s="219">
        <f t="shared" si="336"/>
        <v>0</v>
      </c>
      <c r="CZ81" s="219">
        <f t="shared" si="337"/>
        <v>0</v>
      </c>
      <c r="DA81" s="219">
        <f t="shared" si="338"/>
        <v>0</v>
      </c>
      <c r="DB81" s="219">
        <f t="shared" si="339"/>
        <v>0</v>
      </c>
      <c r="DC81" s="219">
        <f t="shared" si="340"/>
        <v>0</v>
      </c>
      <c r="DD81" s="219">
        <f t="shared" si="341"/>
        <v>0</v>
      </c>
      <c r="DE81" s="326"/>
      <c r="DF81" s="220">
        <f t="shared" si="342"/>
        <v>0</v>
      </c>
      <c r="DG81" s="221">
        <f t="shared" si="343"/>
        <v>0</v>
      </c>
      <c r="DH81" s="221">
        <f t="shared" si="344"/>
        <v>4044950</v>
      </c>
      <c r="DI81" s="221">
        <f t="shared" si="345"/>
        <v>0</v>
      </c>
      <c r="DJ81" s="221">
        <f t="shared" si="346"/>
        <v>4044950</v>
      </c>
      <c r="DK81" s="221">
        <f t="shared" si="347"/>
        <v>0</v>
      </c>
      <c r="DL81" s="221">
        <f t="shared" si="348"/>
        <v>0</v>
      </c>
      <c r="DM81" s="221">
        <f t="shared" si="349"/>
        <v>0</v>
      </c>
      <c r="DN81" s="221">
        <f t="shared" si="350"/>
        <v>0</v>
      </c>
      <c r="DO81" s="222">
        <f t="shared" si="351"/>
        <v>0</v>
      </c>
      <c r="DP81" s="326" t="s">
        <v>327</v>
      </c>
      <c r="DQ81" s="218">
        <f t="shared" si="322"/>
        <v>0</v>
      </c>
      <c r="DR81" s="219">
        <f t="shared" ref="DR81:DZ84" si="368">CT81*(1-$AS81)</f>
        <v>0</v>
      </c>
      <c r="DS81" s="219">
        <f t="shared" si="368"/>
        <v>0</v>
      </c>
      <c r="DT81" s="219">
        <f t="shared" si="368"/>
        <v>0</v>
      </c>
      <c r="DU81" s="219">
        <f t="shared" si="368"/>
        <v>0</v>
      </c>
      <c r="DV81" s="219">
        <f t="shared" si="368"/>
        <v>0</v>
      </c>
      <c r="DW81" s="219">
        <f t="shared" si="368"/>
        <v>0</v>
      </c>
      <c r="DX81" s="219">
        <f t="shared" si="368"/>
        <v>0</v>
      </c>
      <c r="DY81" s="219">
        <f t="shared" si="368"/>
        <v>0</v>
      </c>
      <c r="DZ81" s="219">
        <f t="shared" si="368"/>
        <v>0</v>
      </c>
      <c r="EA81" s="219">
        <f t="shared" si="352"/>
        <v>0</v>
      </c>
      <c r="EB81" s="219">
        <f t="shared" ref="EB81:EB84" si="369">DD81*(1-$AS81)</f>
        <v>0</v>
      </c>
      <c r="EC81" s="326"/>
      <c r="ED81" s="220">
        <f t="shared" si="323"/>
        <v>0</v>
      </c>
      <c r="EE81" s="221">
        <f t="shared" si="128"/>
        <v>0</v>
      </c>
      <c r="EF81" s="221">
        <f t="shared" si="129"/>
        <v>4044950</v>
      </c>
      <c r="EG81" s="221">
        <f t="shared" si="130"/>
        <v>0</v>
      </c>
      <c r="EH81" s="221">
        <f t="shared" si="131"/>
        <v>4044950</v>
      </c>
      <c r="EI81" s="221">
        <f t="shared" si="132"/>
        <v>0</v>
      </c>
      <c r="EJ81" s="221">
        <f t="shared" si="133"/>
        <v>0</v>
      </c>
      <c r="EK81" s="221">
        <f t="shared" si="134"/>
        <v>0</v>
      </c>
      <c r="EL81" s="221">
        <f t="shared" si="135"/>
        <v>0</v>
      </c>
      <c r="EM81" s="222">
        <f t="shared" si="136"/>
        <v>0</v>
      </c>
      <c r="EN81" s="326" t="s">
        <v>327</v>
      </c>
      <c r="EO81" s="218">
        <f t="shared" si="324"/>
        <v>0</v>
      </c>
      <c r="EP81" s="219">
        <f t="shared" ref="EP81:EX84" si="370">CT81*$AS81</f>
        <v>0</v>
      </c>
      <c r="EQ81" s="219">
        <f t="shared" si="370"/>
        <v>0</v>
      </c>
      <c r="ER81" s="219">
        <f t="shared" si="370"/>
        <v>0</v>
      </c>
      <c r="ES81" s="219">
        <f t="shared" si="370"/>
        <v>0</v>
      </c>
      <c r="ET81" s="219">
        <f t="shared" si="370"/>
        <v>0</v>
      </c>
      <c r="EU81" s="219">
        <f t="shared" si="370"/>
        <v>0</v>
      </c>
      <c r="EV81" s="219">
        <f t="shared" si="370"/>
        <v>0</v>
      </c>
      <c r="EW81" s="219">
        <f t="shared" si="370"/>
        <v>0</v>
      </c>
      <c r="EX81" s="219">
        <f t="shared" si="370"/>
        <v>0</v>
      </c>
      <c r="EY81" s="219">
        <f t="shared" si="353"/>
        <v>0</v>
      </c>
      <c r="EZ81" s="219">
        <f t="shared" ref="EZ81:EZ84" si="371">DD81*$AS81</f>
        <v>0</v>
      </c>
      <c r="FA81" s="326"/>
      <c r="FB81" s="220">
        <f t="shared" si="325"/>
        <v>0</v>
      </c>
      <c r="FC81" s="221">
        <f t="shared" si="137"/>
        <v>0</v>
      </c>
      <c r="FD81" s="221">
        <f t="shared" si="138"/>
        <v>0</v>
      </c>
      <c r="FE81" s="221">
        <f t="shared" si="139"/>
        <v>0</v>
      </c>
      <c r="FF81" s="221">
        <f t="shared" si="140"/>
        <v>0</v>
      </c>
      <c r="FG81" s="221">
        <f t="shared" si="141"/>
        <v>0</v>
      </c>
      <c r="FH81" s="221">
        <f t="shared" si="142"/>
        <v>0</v>
      </c>
      <c r="FI81" s="221">
        <f t="shared" si="143"/>
        <v>0</v>
      </c>
      <c r="FJ81" s="221">
        <f t="shared" si="144"/>
        <v>0</v>
      </c>
      <c r="FK81" s="222">
        <f t="shared" si="145"/>
        <v>0</v>
      </c>
    </row>
    <row r="82" spans="1:167" s="6" customFormat="1">
      <c r="A82" s="275" t="s">
        <v>90</v>
      </c>
      <c r="B82" s="186" t="s">
        <v>93</v>
      </c>
      <c r="C82" s="187" t="s">
        <v>233</v>
      </c>
      <c r="D82" s="188">
        <f t="shared" si="354"/>
        <v>77</v>
      </c>
      <c r="E82" s="327" t="s">
        <v>327</v>
      </c>
      <c r="F82" s="154"/>
      <c r="G82" s="154"/>
      <c r="H82" s="154"/>
      <c r="I82" s="154"/>
      <c r="J82" s="154"/>
      <c r="K82" s="154"/>
      <c r="L82" s="156"/>
      <c r="M82" s="376"/>
      <c r="N82" s="327" t="s">
        <v>327</v>
      </c>
      <c r="O82" s="189"/>
      <c r="P82" s="189"/>
      <c r="Q82" s="189"/>
      <c r="R82" s="189"/>
      <c r="S82" s="189"/>
      <c r="T82" s="189"/>
      <c r="U82" s="156"/>
      <c r="V82" s="193"/>
      <c r="W82" s="326" t="s">
        <v>327</v>
      </c>
      <c r="X82" s="189">
        <v>150000</v>
      </c>
      <c r="Y82" s="189">
        <v>153750</v>
      </c>
      <c r="Z82" s="189">
        <v>157748</v>
      </c>
      <c r="AA82" s="189">
        <v>161691</v>
      </c>
      <c r="AB82" s="189">
        <v>166057</v>
      </c>
      <c r="AC82" s="189">
        <v>170706</v>
      </c>
      <c r="AD82" s="190">
        <v>166057</v>
      </c>
      <c r="AE82" s="193" t="s">
        <v>943</v>
      </c>
      <c r="AF82" s="197" t="s">
        <v>327</v>
      </c>
      <c r="AG82" s="326" t="s">
        <v>327</v>
      </c>
      <c r="AH82" s="189"/>
      <c r="AI82" s="189"/>
      <c r="AJ82" s="189"/>
      <c r="AK82" s="189">
        <f t="shared" ref="AK82" si="372">AD82</f>
        <v>166057</v>
      </c>
      <c r="AL82" s="189"/>
      <c r="AM82" s="189"/>
      <c r="AN82" s="190">
        <f t="shared" si="317"/>
        <v>166057</v>
      </c>
      <c r="AO82" s="193" t="str">
        <f t="shared" ref="AO82" si="373">AE82</f>
        <v xml:space="preserve">Marketstrat 2006. </v>
      </c>
      <c r="AP82" s="197" t="str">
        <f t="shared" ref="AP82" si="374">AF82</f>
        <v xml:space="preserve"> </v>
      </c>
      <c r="AQ82" s="326" t="s">
        <v>327</v>
      </c>
      <c r="AR82" s="194" t="s">
        <v>775</v>
      </c>
      <c r="AS82" s="511">
        <v>0</v>
      </c>
      <c r="AT82" s="193"/>
      <c r="AU82" s="193"/>
      <c r="AV82" s="326" t="s">
        <v>327</v>
      </c>
      <c r="AW82" s="195">
        <v>0</v>
      </c>
      <c r="AX82" s="196">
        <v>1</v>
      </c>
      <c r="AY82" s="193" t="s">
        <v>274</v>
      </c>
      <c r="AZ82" s="193"/>
      <c r="BA82" s="193" t="s">
        <v>283</v>
      </c>
      <c r="BB82" s="193" t="s">
        <v>283</v>
      </c>
      <c r="BC82" s="193" t="s">
        <v>283</v>
      </c>
      <c r="BD82" s="193"/>
      <c r="BE82" s="193"/>
      <c r="BF82" s="197"/>
      <c r="BG82" s="326" t="s">
        <v>327</v>
      </c>
      <c r="BH82" s="195">
        <v>1</v>
      </c>
      <c r="BI82" s="196">
        <v>1</v>
      </c>
      <c r="BJ82" s="193" t="s">
        <v>408</v>
      </c>
      <c r="BK82" s="193"/>
      <c r="BL82" s="193">
        <v>12</v>
      </c>
      <c r="BM82" s="193">
        <v>720</v>
      </c>
      <c r="BN82" s="193" t="s">
        <v>1128</v>
      </c>
      <c r="BO82" s="193">
        <v>24</v>
      </c>
      <c r="BP82" s="193">
        <v>864</v>
      </c>
      <c r="BQ82" s="193" t="s">
        <v>294</v>
      </c>
      <c r="BR82" s="326" t="s">
        <v>327</v>
      </c>
      <c r="BS82" s="198">
        <v>0</v>
      </c>
      <c r="BT82" s="198">
        <v>0</v>
      </c>
      <c r="BU82" s="198">
        <v>0</v>
      </c>
      <c r="BV82" s="198">
        <v>0</v>
      </c>
      <c r="BW82" s="198">
        <v>0</v>
      </c>
      <c r="BX82" s="198">
        <v>0</v>
      </c>
      <c r="BY82" s="198">
        <v>0</v>
      </c>
      <c r="BZ82" s="198">
        <v>0</v>
      </c>
      <c r="CA82" s="198">
        <v>0</v>
      </c>
      <c r="CB82" s="198">
        <v>0</v>
      </c>
      <c r="CC82" s="198">
        <v>0</v>
      </c>
      <c r="CD82" s="199">
        <v>0</v>
      </c>
      <c r="CE82" s="193" t="s">
        <v>272</v>
      </c>
      <c r="CF82" s="326"/>
      <c r="CG82" s="379">
        <v>0</v>
      </c>
      <c r="CH82" s="380">
        <v>0</v>
      </c>
      <c r="CI82" s="380">
        <v>0</v>
      </c>
      <c r="CJ82" s="380">
        <v>0</v>
      </c>
      <c r="CK82" s="380">
        <v>0.75</v>
      </c>
      <c r="CL82" s="380">
        <v>0.25</v>
      </c>
      <c r="CM82" s="380">
        <v>0</v>
      </c>
      <c r="CN82" s="380">
        <v>0</v>
      </c>
      <c r="CO82" s="380">
        <v>0</v>
      </c>
      <c r="CP82" s="386">
        <v>0</v>
      </c>
      <c r="CQ82" s="193" t="s">
        <v>272</v>
      </c>
      <c r="CR82" s="326" t="s">
        <v>327</v>
      </c>
      <c r="CS82" s="200">
        <f t="shared" si="330"/>
        <v>0</v>
      </c>
      <c r="CT82" s="154">
        <f t="shared" si="331"/>
        <v>0</v>
      </c>
      <c r="CU82" s="154">
        <f t="shared" si="332"/>
        <v>0</v>
      </c>
      <c r="CV82" s="154">
        <f t="shared" si="333"/>
        <v>0</v>
      </c>
      <c r="CW82" s="154">
        <f t="shared" si="334"/>
        <v>0</v>
      </c>
      <c r="CX82" s="154">
        <f t="shared" si="335"/>
        <v>0</v>
      </c>
      <c r="CY82" s="154">
        <f t="shared" si="336"/>
        <v>0</v>
      </c>
      <c r="CZ82" s="154">
        <f t="shared" si="337"/>
        <v>0</v>
      </c>
      <c r="DA82" s="154">
        <f t="shared" si="338"/>
        <v>0</v>
      </c>
      <c r="DB82" s="154">
        <f t="shared" si="339"/>
        <v>0</v>
      </c>
      <c r="DC82" s="154">
        <f t="shared" si="340"/>
        <v>0</v>
      </c>
      <c r="DD82" s="154">
        <f t="shared" si="341"/>
        <v>0</v>
      </c>
      <c r="DE82" s="326"/>
      <c r="DF82" s="201">
        <f t="shared" si="342"/>
        <v>0</v>
      </c>
      <c r="DG82" s="202">
        <f t="shared" si="343"/>
        <v>0</v>
      </c>
      <c r="DH82" s="202">
        <f t="shared" si="344"/>
        <v>0</v>
      </c>
      <c r="DI82" s="202">
        <f t="shared" si="345"/>
        <v>0</v>
      </c>
      <c r="DJ82" s="202">
        <f t="shared" si="346"/>
        <v>124542.75</v>
      </c>
      <c r="DK82" s="202">
        <f t="shared" si="347"/>
        <v>41514.25</v>
      </c>
      <c r="DL82" s="202">
        <f t="shared" si="348"/>
        <v>0</v>
      </c>
      <c r="DM82" s="202">
        <f t="shared" si="349"/>
        <v>0</v>
      </c>
      <c r="DN82" s="202">
        <f t="shared" si="350"/>
        <v>0</v>
      </c>
      <c r="DO82" s="203">
        <f t="shared" si="351"/>
        <v>0</v>
      </c>
      <c r="DP82" s="326" t="s">
        <v>327</v>
      </c>
      <c r="DQ82" s="200">
        <f t="shared" si="322"/>
        <v>0</v>
      </c>
      <c r="DR82" s="154">
        <f t="shared" si="368"/>
        <v>0</v>
      </c>
      <c r="DS82" s="154">
        <f t="shared" si="368"/>
        <v>0</v>
      </c>
      <c r="DT82" s="154">
        <f t="shared" si="368"/>
        <v>0</v>
      </c>
      <c r="DU82" s="154">
        <f t="shared" si="368"/>
        <v>0</v>
      </c>
      <c r="DV82" s="154">
        <f t="shared" si="368"/>
        <v>0</v>
      </c>
      <c r="DW82" s="154">
        <f t="shared" si="368"/>
        <v>0</v>
      </c>
      <c r="DX82" s="154">
        <f t="shared" si="368"/>
        <v>0</v>
      </c>
      <c r="DY82" s="154">
        <f t="shared" si="368"/>
        <v>0</v>
      </c>
      <c r="DZ82" s="154">
        <f t="shared" si="368"/>
        <v>0</v>
      </c>
      <c r="EA82" s="154">
        <f t="shared" si="352"/>
        <v>0</v>
      </c>
      <c r="EB82" s="154">
        <f t="shared" si="369"/>
        <v>0</v>
      </c>
      <c r="EC82" s="326"/>
      <c r="ED82" s="201">
        <f t="shared" si="323"/>
        <v>0</v>
      </c>
      <c r="EE82" s="202">
        <f t="shared" ref="EE82:EM84" si="375">DG82*(1-$AS82)</f>
        <v>0</v>
      </c>
      <c r="EF82" s="202">
        <f t="shared" si="375"/>
        <v>0</v>
      </c>
      <c r="EG82" s="202">
        <f t="shared" si="375"/>
        <v>0</v>
      </c>
      <c r="EH82" s="202">
        <f t="shared" si="375"/>
        <v>124542.75</v>
      </c>
      <c r="EI82" s="202">
        <f t="shared" si="375"/>
        <v>41514.25</v>
      </c>
      <c r="EJ82" s="202">
        <f t="shared" si="375"/>
        <v>0</v>
      </c>
      <c r="EK82" s="202">
        <f t="shared" si="375"/>
        <v>0</v>
      </c>
      <c r="EL82" s="202">
        <f t="shared" si="375"/>
        <v>0</v>
      </c>
      <c r="EM82" s="203">
        <f t="shared" si="375"/>
        <v>0</v>
      </c>
      <c r="EN82" s="326" t="s">
        <v>327</v>
      </c>
      <c r="EO82" s="200">
        <f t="shared" si="324"/>
        <v>0</v>
      </c>
      <c r="EP82" s="154">
        <f t="shared" si="370"/>
        <v>0</v>
      </c>
      <c r="EQ82" s="154">
        <f t="shared" si="370"/>
        <v>0</v>
      </c>
      <c r="ER82" s="154">
        <f t="shared" si="370"/>
        <v>0</v>
      </c>
      <c r="ES82" s="154">
        <f t="shared" si="370"/>
        <v>0</v>
      </c>
      <c r="ET82" s="154">
        <f t="shared" si="370"/>
        <v>0</v>
      </c>
      <c r="EU82" s="154">
        <f t="shared" si="370"/>
        <v>0</v>
      </c>
      <c r="EV82" s="154">
        <f t="shared" si="370"/>
        <v>0</v>
      </c>
      <c r="EW82" s="154">
        <f t="shared" si="370"/>
        <v>0</v>
      </c>
      <c r="EX82" s="154">
        <f t="shared" si="370"/>
        <v>0</v>
      </c>
      <c r="EY82" s="154">
        <f t="shared" si="353"/>
        <v>0</v>
      </c>
      <c r="EZ82" s="154">
        <f t="shared" si="371"/>
        <v>0</v>
      </c>
      <c r="FA82" s="326"/>
      <c r="FB82" s="201">
        <f t="shared" si="325"/>
        <v>0</v>
      </c>
      <c r="FC82" s="202">
        <f t="shared" ref="FC82:FK84" si="376">DG82*$AS82</f>
        <v>0</v>
      </c>
      <c r="FD82" s="202">
        <f t="shared" si="376"/>
        <v>0</v>
      </c>
      <c r="FE82" s="202">
        <f t="shared" si="376"/>
        <v>0</v>
      </c>
      <c r="FF82" s="202">
        <f t="shared" si="376"/>
        <v>0</v>
      </c>
      <c r="FG82" s="202">
        <f t="shared" si="376"/>
        <v>0</v>
      </c>
      <c r="FH82" s="202">
        <f t="shared" si="376"/>
        <v>0</v>
      </c>
      <c r="FI82" s="202">
        <f t="shared" si="376"/>
        <v>0</v>
      </c>
      <c r="FJ82" s="202">
        <f t="shared" si="376"/>
        <v>0</v>
      </c>
      <c r="FK82" s="203">
        <f t="shared" si="376"/>
        <v>0</v>
      </c>
    </row>
    <row r="83" spans="1:167" s="10" customFormat="1">
      <c r="A83" s="240" t="s">
        <v>90</v>
      </c>
      <c r="B83" s="204" t="s">
        <v>93</v>
      </c>
      <c r="C83" s="205" t="s">
        <v>234</v>
      </c>
      <c r="D83" s="206">
        <f t="shared" si="354"/>
        <v>78</v>
      </c>
      <c r="E83" s="327" t="s">
        <v>327</v>
      </c>
      <c r="F83" s="485"/>
      <c r="G83" s="485"/>
      <c r="H83" s="485"/>
      <c r="I83" s="485"/>
      <c r="J83" s="485"/>
      <c r="K83" s="485"/>
      <c r="L83" s="293"/>
      <c r="M83" s="486"/>
      <c r="N83" s="327" t="s">
        <v>327</v>
      </c>
      <c r="O83" s="242"/>
      <c r="P83" s="242"/>
      <c r="Q83" s="242"/>
      <c r="R83" s="242"/>
      <c r="S83" s="241"/>
      <c r="T83" s="241"/>
      <c r="U83" s="290"/>
      <c r="V83" s="243"/>
      <c r="W83" s="326" t="s">
        <v>327</v>
      </c>
      <c r="X83" s="207">
        <v>172000</v>
      </c>
      <c r="Y83" s="207">
        <v>177160</v>
      </c>
      <c r="Z83" s="207">
        <v>182298</v>
      </c>
      <c r="AA83" s="207">
        <v>187402</v>
      </c>
      <c r="AB83" s="207">
        <v>192274</v>
      </c>
      <c r="AC83" s="207">
        <v>197466</v>
      </c>
      <c r="AD83" s="244">
        <v>192274</v>
      </c>
      <c r="AE83" s="211" t="s">
        <v>943</v>
      </c>
      <c r="AF83" s="248" t="s">
        <v>327</v>
      </c>
      <c r="AG83" s="326" t="s">
        <v>327</v>
      </c>
      <c r="AH83" s="207"/>
      <c r="AI83" s="207"/>
      <c r="AJ83" s="207"/>
      <c r="AK83" s="207">
        <f t="shared" ref="AK83:AK84" si="377">AD83</f>
        <v>192274</v>
      </c>
      <c r="AL83" s="207"/>
      <c r="AM83" s="207"/>
      <c r="AN83" s="244">
        <f t="shared" ref="AN83:AN84" si="378">AK83</f>
        <v>192274</v>
      </c>
      <c r="AO83" s="211" t="str">
        <f t="shared" ref="AO83:AO84" si="379">AE83</f>
        <v xml:space="preserve">Marketstrat 2006. </v>
      </c>
      <c r="AP83" s="248" t="str">
        <f t="shared" ref="AP83:AP84" si="380">AF83</f>
        <v xml:space="preserve"> </v>
      </c>
      <c r="AQ83" s="326" t="s">
        <v>327</v>
      </c>
      <c r="AR83" s="245" t="s">
        <v>775</v>
      </c>
      <c r="AS83" s="516">
        <v>0</v>
      </c>
      <c r="AT83" s="243"/>
      <c r="AU83" s="243"/>
      <c r="AV83" s="326" t="s">
        <v>327</v>
      </c>
      <c r="AW83" s="246">
        <v>0</v>
      </c>
      <c r="AX83" s="247">
        <v>1</v>
      </c>
      <c r="AY83" s="211" t="s">
        <v>274</v>
      </c>
      <c r="AZ83" s="243"/>
      <c r="BA83" s="211" t="s">
        <v>283</v>
      </c>
      <c r="BB83" s="211" t="s">
        <v>283</v>
      </c>
      <c r="BC83" s="211" t="s">
        <v>283</v>
      </c>
      <c r="BD83" s="243"/>
      <c r="BE83" s="243"/>
      <c r="BF83" s="248"/>
      <c r="BG83" s="326" t="s">
        <v>327</v>
      </c>
      <c r="BH83" s="246">
        <v>1</v>
      </c>
      <c r="BI83" s="247">
        <v>1</v>
      </c>
      <c r="BJ83" s="211" t="s">
        <v>408</v>
      </c>
      <c r="BK83" s="243"/>
      <c r="BL83" s="243">
        <v>12</v>
      </c>
      <c r="BM83" s="211">
        <v>720</v>
      </c>
      <c r="BN83" s="243" t="s">
        <v>294</v>
      </c>
      <c r="BO83" s="243"/>
      <c r="BP83" s="243"/>
      <c r="BQ83" s="243"/>
      <c r="BR83" s="326" t="s">
        <v>327</v>
      </c>
      <c r="BS83" s="249">
        <v>0</v>
      </c>
      <c r="BT83" s="249">
        <v>0</v>
      </c>
      <c r="BU83" s="249">
        <v>0</v>
      </c>
      <c r="BV83" s="249">
        <v>0</v>
      </c>
      <c r="BW83" s="249">
        <v>0</v>
      </c>
      <c r="BX83" s="249">
        <v>0</v>
      </c>
      <c r="BY83" s="249">
        <v>0</v>
      </c>
      <c r="BZ83" s="249">
        <v>0</v>
      </c>
      <c r="CA83" s="249">
        <v>0</v>
      </c>
      <c r="CB83" s="249">
        <v>0</v>
      </c>
      <c r="CC83" s="249">
        <v>0</v>
      </c>
      <c r="CD83" s="250">
        <v>0</v>
      </c>
      <c r="CE83" s="251" t="s">
        <v>272</v>
      </c>
      <c r="CF83" s="326" t="s">
        <v>327</v>
      </c>
      <c r="CG83" s="377">
        <v>0</v>
      </c>
      <c r="CH83" s="378">
        <v>0</v>
      </c>
      <c r="CI83" s="378">
        <v>0</v>
      </c>
      <c r="CJ83" s="378">
        <v>0</v>
      </c>
      <c r="CK83" s="378">
        <v>1</v>
      </c>
      <c r="CL83" s="378">
        <v>0</v>
      </c>
      <c r="CM83" s="378">
        <v>0</v>
      </c>
      <c r="CN83" s="378">
        <v>0</v>
      </c>
      <c r="CO83" s="378">
        <v>0</v>
      </c>
      <c r="CP83" s="385">
        <v>0</v>
      </c>
      <c r="CQ83" s="251" t="s">
        <v>272</v>
      </c>
      <c r="CR83" s="326" t="s">
        <v>327</v>
      </c>
      <c r="CS83" s="218">
        <f t="shared" si="330"/>
        <v>0</v>
      </c>
      <c r="CT83" s="219">
        <f t="shared" si="331"/>
        <v>0</v>
      </c>
      <c r="CU83" s="219">
        <f t="shared" si="332"/>
        <v>0</v>
      </c>
      <c r="CV83" s="219">
        <f t="shared" si="333"/>
        <v>0</v>
      </c>
      <c r="CW83" s="219">
        <f t="shared" si="334"/>
        <v>0</v>
      </c>
      <c r="CX83" s="219">
        <f t="shared" si="335"/>
        <v>0</v>
      </c>
      <c r="CY83" s="219">
        <f t="shared" si="336"/>
        <v>0</v>
      </c>
      <c r="CZ83" s="219">
        <f t="shared" si="337"/>
        <v>0</v>
      </c>
      <c r="DA83" s="219">
        <f t="shared" si="338"/>
        <v>0</v>
      </c>
      <c r="DB83" s="219">
        <f t="shared" si="339"/>
        <v>0</v>
      </c>
      <c r="DC83" s="219">
        <f t="shared" si="340"/>
        <v>0</v>
      </c>
      <c r="DD83" s="219">
        <f t="shared" si="341"/>
        <v>0</v>
      </c>
      <c r="DE83" s="326"/>
      <c r="DF83" s="220">
        <f t="shared" si="342"/>
        <v>0</v>
      </c>
      <c r="DG83" s="221">
        <f t="shared" si="343"/>
        <v>0</v>
      </c>
      <c r="DH83" s="221">
        <f t="shared" si="344"/>
        <v>0</v>
      </c>
      <c r="DI83" s="221">
        <f t="shared" si="345"/>
        <v>0</v>
      </c>
      <c r="DJ83" s="221">
        <f t="shared" si="346"/>
        <v>192274</v>
      </c>
      <c r="DK83" s="221">
        <f t="shared" si="347"/>
        <v>0</v>
      </c>
      <c r="DL83" s="221">
        <f t="shared" si="348"/>
        <v>0</v>
      </c>
      <c r="DM83" s="221">
        <f t="shared" si="349"/>
        <v>0</v>
      </c>
      <c r="DN83" s="221">
        <f t="shared" si="350"/>
        <v>0</v>
      </c>
      <c r="DO83" s="222">
        <f t="shared" si="351"/>
        <v>0</v>
      </c>
      <c r="DP83" s="326" t="s">
        <v>327</v>
      </c>
      <c r="DQ83" s="218">
        <f t="shared" si="322"/>
        <v>0</v>
      </c>
      <c r="DR83" s="219">
        <f t="shared" si="368"/>
        <v>0</v>
      </c>
      <c r="DS83" s="219">
        <f t="shared" si="368"/>
        <v>0</v>
      </c>
      <c r="DT83" s="219">
        <f t="shared" si="368"/>
        <v>0</v>
      </c>
      <c r="DU83" s="219">
        <f t="shared" si="368"/>
        <v>0</v>
      </c>
      <c r="DV83" s="219">
        <f t="shared" si="368"/>
        <v>0</v>
      </c>
      <c r="DW83" s="219">
        <f t="shared" si="368"/>
        <v>0</v>
      </c>
      <c r="DX83" s="219">
        <f t="shared" si="368"/>
        <v>0</v>
      </c>
      <c r="DY83" s="219">
        <f t="shared" si="368"/>
        <v>0</v>
      </c>
      <c r="DZ83" s="219">
        <f t="shared" si="368"/>
        <v>0</v>
      </c>
      <c r="EA83" s="219">
        <f t="shared" si="352"/>
        <v>0</v>
      </c>
      <c r="EB83" s="219">
        <f t="shared" si="369"/>
        <v>0</v>
      </c>
      <c r="EC83" s="326"/>
      <c r="ED83" s="220">
        <f t="shared" si="323"/>
        <v>0</v>
      </c>
      <c r="EE83" s="221">
        <f t="shared" si="375"/>
        <v>0</v>
      </c>
      <c r="EF83" s="221">
        <f t="shared" si="375"/>
        <v>0</v>
      </c>
      <c r="EG83" s="221">
        <f t="shared" si="375"/>
        <v>0</v>
      </c>
      <c r="EH83" s="221">
        <f t="shared" si="375"/>
        <v>192274</v>
      </c>
      <c r="EI83" s="221">
        <f t="shared" si="375"/>
        <v>0</v>
      </c>
      <c r="EJ83" s="221">
        <f t="shared" si="375"/>
        <v>0</v>
      </c>
      <c r="EK83" s="221">
        <f t="shared" si="375"/>
        <v>0</v>
      </c>
      <c r="EL83" s="221">
        <f t="shared" si="375"/>
        <v>0</v>
      </c>
      <c r="EM83" s="222">
        <f t="shared" si="375"/>
        <v>0</v>
      </c>
      <c r="EN83" s="326" t="s">
        <v>327</v>
      </c>
      <c r="EO83" s="218">
        <f t="shared" si="324"/>
        <v>0</v>
      </c>
      <c r="EP83" s="219">
        <f t="shared" si="370"/>
        <v>0</v>
      </c>
      <c r="EQ83" s="219">
        <f t="shared" si="370"/>
        <v>0</v>
      </c>
      <c r="ER83" s="219">
        <f t="shared" si="370"/>
        <v>0</v>
      </c>
      <c r="ES83" s="219">
        <f t="shared" si="370"/>
        <v>0</v>
      </c>
      <c r="ET83" s="219">
        <f t="shared" si="370"/>
        <v>0</v>
      </c>
      <c r="EU83" s="219">
        <f t="shared" si="370"/>
        <v>0</v>
      </c>
      <c r="EV83" s="219">
        <f t="shared" si="370"/>
        <v>0</v>
      </c>
      <c r="EW83" s="219">
        <f t="shared" si="370"/>
        <v>0</v>
      </c>
      <c r="EX83" s="219">
        <f t="shared" si="370"/>
        <v>0</v>
      </c>
      <c r="EY83" s="219">
        <f t="shared" si="353"/>
        <v>0</v>
      </c>
      <c r="EZ83" s="219">
        <f t="shared" si="371"/>
        <v>0</v>
      </c>
      <c r="FA83" s="326"/>
      <c r="FB83" s="220">
        <f t="shared" si="325"/>
        <v>0</v>
      </c>
      <c r="FC83" s="221">
        <f t="shared" si="376"/>
        <v>0</v>
      </c>
      <c r="FD83" s="221">
        <f t="shared" si="376"/>
        <v>0</v>
      </c>
      <c r="FE83" s="221">
        <f t="shared" si="376"/>
        <v>0</v>
      </c>
      <c r="FF83" s="221">
        <f t="shared" si="376"/>
        <v>0</v>
      </c>
      <c r="FG83" s="221">
        <f t="shared" si="376"/>
        <v>0</v>
      </c>
      <c r="FH83" s="221">
        <f t="shared" si="376"/>
        <v>0</v>
      </c>
      <c r="FI83" s="221">
        <f t="shared" si="376"/>
        <v>0</v>
      </c>
      <c r="FJ83" s="221">
        <f t="shared" si="376"/>
        <v>0</v>
      </c>
      <c r="FK83" s="222">
        <f t="shared" si="376"/>
        <v>0</v>
      </c>
    </row>
    <row r="84" spans="1:167" s="6" customFormat="1">
      <c r="A84" s="276" t="s">
        <v>90</v>
      </c>
      <c r="B84" s="256" t="s">
        <v>217</v>
      </c>
      <c r="C84" s="257" t="s">
        <v>216</v>
      </c>
      <c r="D84" s="258">
        <f t="shared" si="354"/>
        <v>79</v>
      </c>
      <c r="E84" s="327" t="s">
        <v>327</v>
      </c>
      <c r="F84" s="268"/>
      <c r="G84" s="268"/>
      <c r="H84" s="268"/>
      <c r="I84" s="268"/>
      <c r="J84" s="268"/>
      <c r="K84" s="268"/>
      <c r="L84" s="292"/>
      <c r="M84" s="482"/>
      <c r="N84" s="327" t="s">
        <v>327</v>
      </c>
      <c r="O84" s="259"/>
      <c r="P84" s="259"/>
      <c r="Q84" s="259"/>
      <c r="R84" s="259"/>
      <c r="S84" s="259"/>
      <c r="T84" s="259"/>
      <c r="U84" s="260"/>
      <c r="V84" s="260"/>
      <c r="W84" s="326" t="s">
        <v>327</v>
      </c>
      <c r="X84" s="259">
        <v>0</v>
      </c>
      <c r="Y84" s="259">
        <v>0</v>
      </c>
      <c r="Z84" s="259">
        <v>0</v>
      </c>
      <c r="AA84" s="259">
        <v>0</v>
      </c>
      <c r="AB84" s="259">
        <v>500000</v>
      </c>
      <c r="AC84" s="259">
        <v>0</v>
      </c>
      <c r="AD84" s="272">
        <v>500000</v>
      </c>
      <c r="AE84" s="260" t="s">
        <v>926</v>
      </c>
      <c r="AF84" s="264" t="s">
        <v>327</v>
      </c>
      <c r="AG84" s="326" t="s">
        <v>327</v>
      </c>
      <c r="AH84" s="259"/>
      <c r="AI84" s="259"/>
      <c r="AJ84" s="259"/>
      <c r="AK84" s="259">
        <f t="shared" si="377"/>
        <v>500000</v>
      </c>
      <c r="AL84" s="259"/>
      <c r="AM84" s="259"/>
      <c r="AN84" s="272">
        <f t="shared" si="378"/>
        <v>500000</v>
      </c>
      <c r="AO84" s="260" t="str">
        <f t="shared" si="379"/>
        <v>PG&amp;E 2008</v>
      </c>
      <c r="AP84" s="264" t="str">
        <f t="shared" si="380"/>
        <v xml:space="preserve"> </v>
      </c>
      <c r="AQ84" s="326" t="s">
        <v>327</v>
      </c>
      <c r="AR84" s="261" t="s">
        <v>775</v>
      </c>
      <c r="AS84" s="515">
        <v>0</v>
      </c>
      <c r="AT84" s="260"/>
      <c r="AU84" s="260"/>
      <c r="AV84" s="326" t="s">
        <v>327</v>
      </c>
      <c r="AW84" s="262">
        <v>0</v>
      </c>
      <c r="AX84" s="263">
        <v>1</v>
      </c>
      <c r="AY84" s="260" t="s">
        <v>274</v>
      </c>
      <c r="AZ84" s="260"/>
      <c r="BA84" s="260" t="s">
        <v>283</v>
      </c>
      <c r="BB84" s="260" t="s">
        <v>283</v>
      </c>
      <c r="BC84" s="260" t="s">
        <v>283</v>
      </c>
      <c r="BD84" s="260" t="s">
        <v>283</v>
      </c>
      <c r="BE84" s="260" t="s">
        <v>283</v>
      </c>
      <c r="BF84" s="264" t="s">
        <v>283</v>
      </c>
      <c r="BG84" s="326" t="s">
        <v>327</v>
      </c>
      <c r="BH84" s="262">
        <v>1</v>
      </c>
      <c r="BI84" s="263">
        <v>1</v>
      </c>
      <c r="BJ84" s="260" t="s">
        <v>405</v>
      </c>
      <c r="BK84" s="260"/>
      <c r="BL84" s="260">
        <v>12</v>
      </c>
      <c r="BM84" s="273">
        <v>900</v>
      </c>
      <c r="BN84" s="260" t="s">
        <v>398</v>
      </c>
      <c r="BO84" s="260"/>
      <c r="BP84" s="260"/>
      <c r="BQ84" s="260"/>
      <c r="BR84" s="326" t="s">
        <v>327</v>
      </c>
      <c r="BS84" s="265">
        <v>0</v>
      </c>
      <c r="BT84" s="265">
        <v>0</v>
      </c>
      <c r="BU84" s="265">
        <v>0</v>
      </c>
      <c r="BV84" s="265">
        <v>0</v>
      </c>
      <c r="BW84" s="265">
        <v>0</v>
      </c>
      <c r="BX84" s="265">
        <v>0</v>
      </c>
      <c r="BY84" s="265">
        <v>0</v>
      </c>
      <c r="BZ84" s="265">
        <v>0</v>
      </c>
      <c r="CA84" s="265">
        <v>0</v>
      </c>
      <c r="CB84" s="265">
        <v>0</v>
      </c>
      <c r="CC84" s="265">
        <v>0</v>
      </c>
      <c r="CD84" s="266">
        <v>0</v>
      </c>
      <c r="CE84" s="260" t="s">
        <v>249</v>
      </c>
      <c r="CF84" s="326" t="s">
        <v>327</v>
      </c>
      <c r="CG84" s="383">
        <v>0</v>
      </c>
      <c r="CH84" s="384">
        <v>0</v>
      </c>
      <c r="CI84" s="384">
        <v>0</v>
      </c>
      <c r="CJ84" s="384">
        <v>0</v>
      </c>
      <c r="CK84" s="384">
        <v>1</v>
      </c>
      <c r="CL84" s="384">
        <v>0</v>
      </c>
      <c r="CM84" s="384">
        <v>0</v>
      </c>
      <c r="CN84" s="384">
        <v>0</v>
      </c>
      <c r="CO84" s="384">
        <v>0</v>
      </c>
      <c r="CP84" s="388">
        <v>0</v>
      </c>
      <c r="CQ84" s="260" t="s">
        <v>249</v>
      </c>
      <c r="CR84" s="326" t="s">
        <v>327</v>
      </c>
      <c r="CS84" s="267">
        <f t="shared" si="330"/>
        <v>0</v>
      </c>
      <c r="CT84" s="268">
        <f t="shared" si="331"/>
        <v>0</v>
      </c>
      <c r="CU84" s="268">
        <f t="shared" si="332"/>
        <v>0</v>
      </c>
      <c r="CV84" s="268">
        <f t="shared" si="333"/>
        <v>0</v>
      </c>
      <c r="CW84" s="268">
        <f t="shared" si="334"/>
        <v>0</v>
      </c>
      <c r="CX84" s="268">
        <f t="shared" si="335"/>
        <v>0</v>
      </c>
      <c r="CY84" s="268">
        <f t="shared" si="336"/>
        <v>0</v>
      </c>
      <c r="CZ84" s="268">
        <f t="shared" si="337"/>
        <v>0</v>
      </c>
      <c r="DA84" s="268">
        <f t="shared" si="338"/>
        <v>0</v>
      </c>
      <c r="DB84" s="268">
        <f t="shared" si="339"/>
        <v>0</v>
      </c>
      <c r="DC84" s="268">
        <f t="shared" si="340"/>
        <v>0</v>
      </c>
      <c r="DD84" s="268">
        <f t="shared" si="341"/>
        <v>0</v>
      </c>
      <c r="DE84" s="326"/>
      <c r="DF84" s="269">
        <f t="shared" si="342"/>
        <v>0</v>
      </c>
      <c r="DG84" s="270">
        <f t="shared" si="343"/>
        <v>0</v>
      </c>
      <c r="DH84" s="270">
        <f t="shared" si="344"/>
        <v>0</v>
      </c>
      <c r="DI84" s="270">
        <f t="shared" si="345"/>
        <v>0</v>
      </c>
      <c r="DJ84" s="270">
        <f t="shared" si="346"/>
        <v>500000</v>
      </c>
      <c r="DK84" s="270">
        <f t="shared" si="347"/>
        <v>0</v>
      </c>
      <c r="DL84" s="270">
        <f t="shared" si="348"/>
        <v>0</v>
      </c>
      <c r="DM84" s="270">
        <f t="shared" si="349"/>
        <v>0</v>
      </c>
      <c r="DN84" s="270">
        <f t="shared" si="350"/>
        <v>0</v>
      </c>
      <c r="DO84" s="271">
        <f t="shared" si="351"/>
        <v>0</v>
      </c>
      <c r="DP84" s="326" t="s">
        <v>327</v>
      </c>
      <c r="DQ84" s="267">
        <f t="shared" si="322"/>
        <v>0</v>
      </c>
      <c r="DR84" s="268">
        <f t="shared" si="368"/>
        <v>0</v>
      </c>
      <c r="DS84" s="268">
        <f t="shared" si="368"/>
        <v>0</v>
      </c>
      <c r="DT84" s="268">
        <f t="shared" si="368"/>
        <v>0</v>
      </c>
      <c r="DU84" s="268">
        <f t="shared" si="368"/>
        <v>0</v>
      </c>
      <c r="DV84" s="268">
        <f t="shared" si="368"/>
        <v>0</v>
      </c>
      <c r="DW84" s="268">
        <f t="shared" si="368"/>
        <v>0</v>
      </c>
      <c r="DX84" s="268">
        <f t="shared" si="368"/>
        <v>0</v>
      </c>
      <c r="DY84" s="268">
        <f t="shared" si="368"/>
        <v>0</v>
      </c>
      <c r="DZ84" s="268">
        <f t="shared" si="368"/>
        <v>0</v>
      </c>
      <c r="EA84" s="268">
        <f t="shared" si="352"/>
        <v>0</v>
      </c>
      <c r="EB84" s="268">
        <f t="shared" si="369"/>
        <v>0</v>
      </c>
      <c r="EC84" s="326"/>
      <c r="ED84" s="269">
        <f t="shared" si="323"/>
        <v>0</v>
      </c>
      <c r="EE84" s="270">
        <f t="shared" si="375"/>
        <v>0</v>
      </c>
      <c r="EF84" s="270">
        <f t="shared" si="375"/>
        <v>0</v>
      </c>
      <c r="EG84" s="270">
        <f t="shared" si="375"/>
        <v>0</v>
      </c>
      <c r="EH84" s="270">
        <f t="shared" si="375"/>
        <v>500000</v>
      </c>
      <c r="EI84" s="270">
        <f t="shared" si="375"/>
        <v>0</v>
      </c>
      <c r="EJ84" s="270">
        <f t="shared" si="375"/>
        <v>0</v>
      </c>
      <c r="EK84" s="270">
        <f t="shared" si="375"/>
        <v>0</v>
      </c>
      <c r="EL84" s="270">
        <f t="shared" si="375"/>
        <v>0</v>
      </c>
      <c r="EM84" s="271">
        <f t="shared" si="375"/>
        <v>0</v>
      </c>
      <c r="EN84" s="326" t="s">
        <v>327</v>
      </c>
      <c r="EO84" s="267">
        <f t="shared" si="324"/>
        <v>0</v>
      </c>
      <c r="EP84" s="268">
        <f t="shared" si="370"/>
        <v>0</v>
      </c>
      <c r="EQ84" s="268">
        <f t="shared" si="370"/>
        <v>0</v>
      </c>
      <c r="ER84" s="268">
        <f t="shared" si="370"/>
        <v>0</v>
      </c>
      <c r="ES84" s="268">
        <f t="shared" si="370"/>
        <v>0</v>
      </c>
      <c r="ET84" s="268">
        <f t="shared" si="370"/>
        <v>0</v>
      </c>
      <c r="EU84" s="268">
        <f t="shared" si="370"/>
        <v>0</v>
      </c>
      <c r="EV84" s="268">
        <f t="shared" si="370"/>
        <v>0</v>
      </c>
      <c r="EW84" s="268">
        <f t="shared" si="370"/>
        <v>0</v>
      </c>
      <c r="EX84" s="268">
        <f t="shared" si="370"/>
        <v>0</v>
      </c>
      <c r="EY84" s="268">
        <f t="shared" si="353"/>
        <v>0</v>
      </c>
      <c r="EZ84" s="268">
        <f t="shared" si="371"/>
        <v>0</v>
      </c>
      <c r="FA84" s="326"/>
      <c r="FB84" s="269">
        <f t="shared" si="325"/>
        <v>0</v>
      </c>
      <c r="FC84" s="270">
        <f t="shared" si="376"/>
        <v>0</v>
      </c>
      <c r="FD84" s="270">
        <f t="shared" si="376"/>
        <v>0</v>
      </c>
      <c r="FE84" s="270">
        <f t="shared" si="376"/>
        <v>0</v>
      </c>
      <c r="FF84" s="270">
        <f t="shared" si="376"/>
        <v>0</v>
      </c>
      <c r="FG84" s="270">
        <f t="shared" si="376"/>
        <v>0</v>
      </c>
      <c r="FH84" s="270">
        <f t="shared" si="376"/>
        <v>0</v>
      </c>
      <c r="FI84" s="270">
        <f t="shared" si="376"/>
        <v>0</v>
      </c>
      <c r="FJ84" s="270">
        <f t="shared" si="376"/>
        <v>0</v>
      </c>
      <c r="FK84" s="271">
        <f t="shared" si="376"/>
        <v>0</v>
      </c>
    </row>
    <row r="85" spans="1:167">
      <c r="C85" s="8"/>
      <c r="D85" s="313"/>
      <c r="E85" s="8"/>
      <c r="N85" s="8"/>
      <c r="W85" s="8" t="s">
        <v>327</v>
      </c>
      <c r="AR85" s="8"/>
      <c r="AU85" s="4"/>
      <c r="AW85" s="4"/>
      <c r="AX85" s="4"/>
      <c r="BX85" s="182"/>
      <c r="CX85" s="7"/>
      <c r="CY85" s="7"/>
      <c r="CZ85" s="147"/>
      <c r="DA85" s="7"/>
      <c r="DB85" s="7"/>
      <c r="DC85" s="7"/>
      <c r="DD85" s="7"/>
      <c r="DE85" s="8"/>
      <c r="DF85" s="392"/>
      <c r="DG85" s="181"/>
      <c r="DH85" s="181"/>
      <c r="DI85" s="181"/>
      <c r="DJ85" s="181"/>
      <c r="DK85" s="181"/>
      <c r="DL85" s="181"/>
      <c r="DM85" s="181"/>
      <c r="DN85" s="181"/>
      <c r="DO85" s="393"/>
      <c r="DP85" s="26"/>
      <c r="DQ85" s="7"/>
      <c r="DR85" s="7"/>
      <c r="DS85" s="7"/>
      <c r="DT85" s="7"/>
      <c r="DU85" s="7"/>
      <c r="DV85" s="7"/>
      <c r="DW85" s="7"/>
      <c r="DX85" s="147"/>
      <c r="DY85" s="7"/>
      <c r="DZ85" s="7"/>
      <c r="EA85" s="7"/>
      <c r="EB85" s="7"/>
      <c r="EC85" s="8"/>
      <c r="ED85" s="392"/>
      <c r="EE85" s="181"/>
      <c r="EF85" s="181"/>
      <c r="EG85" s="181"/>
      <c r="EH85" s="181"/>
      <c r="EI85" s="181"/>
      <c r="EJ85" s="181"/>
      <c r="EK85" s="181"/>
      <c r="EL85" s="181"/>
      <c r="EM85" s="393"/>
      <c r="EN85" s="26"/>
      <c r="EO85" s="7"/>
      <c r="EP85" s="7"/>
      <c r="EQ85" s="7"/>
      <c r="ER85" s="7"/>
      <c r="ES85" s="7"/>
      <c r="ET85" s="7"/>
      <c r="EU85" s="7"/>
      <c r="EV85" s="147"/>
      <c r="EW85" s="7"/>
      <c r="EX85" s="7"/>
      <c r="EY85" s="7"/>
      <c r="EZ85" s="7"/>
      <c r="FA85" s="8"/>
      <c r="FB85" s="392"/>
      <c r="FC85" s="181"/>
      <c r="FD85" s="181"/>
      <c r="FE85" s="181"/>
      <c r="FF85" s="181"/>
      <c r="FG85" s="181"/>
      <c r="FH85" s="181"/>
      <c r="FI85" s="181"/>
      <c r="FJ85" s="181"/>
      <c r="FK85" s="393"/>
    </row>
    <row r="86" spans="1:167">
      <c r="A86" s="153"/>
      <c r="B86" s="153"/>
      <c r="C86" s="183"/>
      <c r="AH86" s="7"/>
      <c r="AI86" s="7"/>
      <c r="AJ86" s="7"/>
      <c r="AK86" s="7"/>
      <c r="AR86" s="8"/>
      <c r="BX86" s="72"/>
      <c r="CS86" s="349" t="s">
        <v>1129</v>
      </c>
      <c r="CT86" s="350" t="s">
        <v>1130</v>
      </c>
      <c r="CU86" s="350" t="s">
        <v>1131</v>
      </c>
      <c r="CV86" s="350" t="s">
        <v>1132</v>
      </c>
      <c r="CW86" s="350" t="s">
        <v>1133</v>
      </c>
      <c r="CX86" s="350" t="s">
        <v>1134</v>
      </c>
      <c r="CY86" s="350" t="s">
        <v>1135</v>
      </c>
      <c r="CZ86" s="350" t="s">
        <v>1136</v>
      </c>
      <c r="DA86" s="350" t="s">
        <v>1137</v>
      </c>
      <c r="DB86" s="350" t="s">
        <v>1138</v>
      </c>
      <c r="DC86" s="350" t="s">
        <v>1220</v>
      </c>
      <c r="DD86" s="350" t="s">
        <v>1221</v>
      </c>
      <c r="DE86" s="1" t="s">
        <v>327</v>
      </c>
      <c r="DF86" s="333" t="s">
        <v>235</v>
      </c>
      <c r="DG86" s="334" t="s">
        <v>236</v>
      </c>
      <c r="DH86" s="334" t="s">
        <v>203</v>
      </c>
      <c r="DI86" s="334" t="s">
        <v>204</v>
      </c>
      <c r="DJ86" s="334" t="s">
        <v>205</v>
      </c>
      <c r="DK86" s="334" t="s">
        <v>206</v>
      </c>
      <c r="DL86" s="334" t="s">
        <v>207</v>
      </c>
      <c r="DM86" s="334" t="s">
        <v>208</v>
      </c>
      <c r="DN86" s="334" t="s">
        <v>209</v>
      </c>
      <c r="DO86" s="335" t="s">
        <v>210</v>
      </c>
      <c r="DP86" s="26"/>
      <c r="DQ86" s="349" t="s">
        <v>1129</v>
      </c>
      <c r="DR86" s="350" t="s">
        <v>1130</v>
      </c>
      <c r="DS86" s="350" t="s">
        <v>1131</v>
      </c>
      <c r="DT86" s="350" t="s">
        <v>1132</v>
      </c>
      <c r="DU86" s="350" t="s">
        <v>1133</v>
      </c>
      <c r="DV86" s="350" t="s">
        <v>1134</v>
      </c>
      <c r="DW86" s="350" t="s">
        <v>1135</v>
      </c>
      <c r="DX86" s="350" t="s">
        <v>1136</v>
      </c>
      <c r="DY86" s="350" t="s">
        <v>1137</v>
      </c>
      <c r="DZ86" s="350" t="s">
        <v>1138</v>
      </c>
      <c r="EA86" s="350" t="s">
        <v>1220</v>
      </c>
      <c r="EB86" s="350" t="s">
        <v>1221</v>
      </c>
      <c r="EC86" s="1" t="s">
        <v>327</v>
      </c>
      <c r="ED86" s="333" t="s">
        <v>235</v>
      </c>
      <c r="EE86" s="334" t="s">
        <v>236</v>
      </c>
      <c r="EF86" s="334" t="s">
        <v>203</v>
      </c>
      <c r="EG86" s="334" t="s">
        <v>204</v>
      </c>
      <c r="EH86" s="334" t="s">
        <v>205</v>
      </c>
      <c r="EI86" s="334" t="s">
        <v>206</v>
      </c>
      <c r="EJ86" s="334" t="s">
        <v>207</v>
      </c>
      <c r="EK86" s="334" t="s">
        <v>208</v>
      </c>
      <c r="EL86" s="334" t="s">
        <v>209</v>
      </c>
      <c r="EM86" s="335" t="s">
        <v>210</v>
      </c>
      <c r="EN86" s="26"/>
      <c r="EO86" s="349" t="s">
        <v>1129</v>
      </c>
      <c r="EP86" s="350" t="s">
        <v>1130</v>
      </c>
      <c r="EQ86" s="350" t="s">
        <v>1131</v>
      </c>
      <c r="ER86" s="350" t="s">
        <v>1132</v>
      </c>
      <c r="ES86" s="350" t="s">
        <v>1133</v>
      </c>
      <c r="ET86" s="350" t="s">
        <v>1134</v>
      </c>
      <c r="EU86" s="350" t="s">
        <v>1135</v>
      </c>
      <c r="EV86" s="350" t="s">
        <v>1136</v>
      </c>
      <c r="EW86" s="350" t="s">
        <v>1137</v>
      </c>
      <c r="EX86" s="350" t="s">
        <v>1138</v>
      </c>
      <c r="EY86" s="350" t="s">
        <v>1220</v>
      </c>
      <c r="EZ86" s="350" t="s">
        <v>1221</v>
      </c>
      <c r="FA86" s="1" t="s">
        <v>327</v>
      </c>
      <c r="FB86" s="333" t="s">
        <v>235</v>
      </c>
      <c r="FC86" s="334" t="s">
        <v>236</v>
      </c>
      <c r="FD86" s="334" t="s">
        <v>203</v>
      </c>
      <c r="FE86" s="334" t="s">
        <v>204</v>
      </c>
      <c r="FF86" s="334" t="s">
        <v>205</v>
      </c>
      <c r="FG86" s="334" t="s">
        <v>206</v>
      </c>
      <c r="FH86" s="334" t="s">
        <v>207</v>
      </c>
      <c r="FI86" s="334" t="s">
        <v>208</v>
      </c>
      <c r="FJ86" s="334" t="s">
        <v>209</v>
      </c>
      <c r="FK86" s="335" t="s">
        <v>210</v>
      </c>
    </row>
    <row r="87" spans="1:167" ht="13.5" customHeight="1">
      <c r="A87" s="153"/>
      <c r="B87" s="153"/>
      <c r="C87" s="183"/>
      <c r="F87" s="1161"/>
      <c r="G87" s="1161"/>
      <c r="H87" s="1161"/>
      <c r="I87" s="1161"/>
      <c r="J87" s="1161"/>
      <c r="K87" s="1161"/>
      <c r="L87" s="1161"/>
      <c r="M87" s="1161"/>
      <c r="N87" s="536"/>
      <c r="O87" s="1161"/>
      <c r="P87" s="1161"/>
      <c r="Q87" s="1161"/>
      <c r="R87" s="1161"/>
      <c r="S87" s="1161"/>
      <c r="T87" s="25"/>
      <c r="AH87" s="841"/>
      <c r="AI87" s="841"/>
      <c r="AJ87" s="841"/>
      <c r="AK87" s="841">
        <f>SUM(AK40:AK63)</f>
        <v>132737900.10337228</v>
      </c>
      <c r="AM87" s="394"/>
      <c r="AN87" s="395"/>
      <c r="AO87" s="185"/>
      <c r="AP87" s="185"/>
      <c r="AQ87" s="396"/>
      <c r="AR87" s="10"/>
      <c r="AS87" s="185"/>
      <c r="AT87" s="185"/>
      <c r="AU87" s="185"/>
      <c r="AV87" s="396"/>
      <c r="BP87" s="398"/>
      <c r="BQ87" s="396"/>
      <c r="BR87" s="398"/>
      <c r="BX87" s="72"/>
      <c r="CS87" s="330" t="s">
        <v>298</v>
      </c>
      <c r="CT87" s="347" t="s">
        <v>753</v>
      </c>
      <c r="CU87" s="347" t="s">
        <v>754</v>
      </c>
      <c r="CV87" s="347" t="s">
        <v>755</v>
      </c>
      <c r="CW87" s="347" t="s">
        <v>756</v>
      </c>
      <c r="CX87" s="331" t="s">
        <v>299</v>
      </c>
      <c r="CY87" s="331" t="s">
        <v>300</v>
      </c>
      <c r="CZ87" s="331" t="s">
        <v>301</v>
      </c>
      <c r="DA87" s="348" t="s">
        <v>758</v>
      </c>
      <c r="DB87" s="348" t="s">
        <v>757</v>
      </c>
      <c r="DC87" s="348" t="s">
        <v>1222</v>
      </c>
      <c r="DD87" s="348" t="s">
        <v>1223</v>
      </c>
      <c r="DE87" s="326" t="s">
        <v>327</v>
      </c>
      <c r="DF87" s="336" t="s">
        <v>288</v>
      </c>
      <c r="DG87" s="337" t="s">
        <v>289</v>
      </c>
      <c r="DH87" s="337" t="s">
        <v>340</v>
      </c>
      <c r="DI87" s="337" t="s">
        <v>341</v>
      </c>
      <c r="DJ87" s="337" t="s">
        <v>342</v>
      </c>
      <c r="DK87" s="337" t="s">
        <v>343</v>
      </c>
      <c r="DL87" s="337" t="s">
        <v>315</v>
      </c>
      <c r="DM87" s="337" t="s">
        <v>290</v>
      </c>
      <c r="DN87" s="337" t="s">
        <v>291</v>
      </c>
      <c r="DO87" s="338" t="s">
        <v>292</v>
      </c>
      <c r="DP87" s="26"/>
      <c r="DQ87" s="330" t="s">
        <v>298</v>
      </c>
      <c r="DR87" s="347" t="s">
        <v>753</v>
      </c>
      <c r="DS87" s="347" t="s">
        <v>754</v>
      </c>
      <c r="DT87" s="347" t="s">
        <v>755</v>
      </c>
      <c r="DU87" s="347" t="s">
        <v>756</v>
      </c>
      <c r="DV87" s="331" t="s">
        <v>299</v>
      </c>
      <c r="DW87" s="331" t="s">
        <v>300</v>
      </c>
      <c r="DX87" s="331" t="s">
        <v>301</v>
      </c>
      <c r="DY87" s="348" t="s">
        <v>758</v>
      </c>
      <c r="DZ87" s="348" t="s">
        <v>757</v>
      </c>
      <c r="EA87" s="348" t="s">
        <v>1222</v>
      </c>
      <c r="EB87" s="348" t="s">
        <v>1223</v>
      </c>
      <c r="EC87" s="326" t="s">
        <v>327</v>
      </c>
      <c r="ED87" s="336" t="s">
        <v>288</v>
      </c>
      <c r="EE87" s="337" t="s">
        <v>289</v>
      </c>
      <c r="EF87" s="337" t="s">
        <v>340</v>
      </c>
      <c r="EG87" s="337" t="s">
        <v>341</v>
      </c>
      <c r="EH87" s="337" t="s">
        <v>342</v>
      </c>
      <c r="EI87" s="337" t="s">
        <v>343</v>
      </c>
      <c r="EJ87" s="337" t="s">
        <v>315</v>
      </c>
      <c r="EK87" s="337" t="s">
        <v>290</v>
      </c>
      <c r="EL87" s="337" t="s">
        <v>291</v>
      </c>
      <c r="EM87" s="338" t="s">
        <v>292</v>
      </c>
      <c r="EN87" s="26"/>
      <c r="EO87" s="330" t="s">
        <v>298</v>
      </c>
      <c r="EP87" s="347" t="s">
        <v>753</v>
      </c>
      <c r="EQ87" s="347" t="s">
        <v>754</v>
      </c>
      <c r="ER87" s="347" t="s">
        <v>755</v>
      </c>
      <c r="ES87" s="347" t="s">
        <v>756</v>
      </c>
      <c r="ET87" s="331" t="s">
        <v>299</v>
      </c>
      <c r="EU87" s="331" t="s">
        <v>300</v>
      </c>
      <c r="EV87" s="331" t="s">
        <v>301</v>
      </c>
      <c r="EW87" s="348" t="s">
        <v>758</v>
      </c>
      <c r="EX87" s="348" t="s">
        <v>757</v>
      </c>
      <c r="EY87" s="348" t="s">
        <v>1222</v>
      </c>
      <c r="EZ87" s="348" t="s">
        <v>1223</v>
      </c>
      <c r="FA87" s="326" t="s">
        <v>327</v>
      </c>
      <c r="FB87" s="336" t="s">
        <v>288</v>
      </c>
      <c r="FC87" s="337" t="s">
        <v>289</v>
      </c>
      <c r="FD87" s="337" t="s">
        <v>340</v>
      </c>
      <c r="FE87" s="337" t="s">
        <v>341</v>
      </c>
      <c r="FF87" s="337" t="s">
        <v>342</v>
      </c>
      <c r="FG87" s="337" t="s">
        <v>343</v>
      </c>
      <c r="FH87" s="337" t="s">
        <v>315</v>
      </c>
      <c r="FI87" s="337" t="s">
        <v>290</v>
      </c>
      <c r="FJ87" s="337" t="s">
        <v>291</v>
      </c>
      <c r="FK87" s="338" t="s">
        <v>292</v>
      </c>
    </row>
    <row r="88" spans="1:167" ht="12.75" customHeight="1">
      <c r="A88" s="153"/>
      <c r="B88" s="1162"/>
      <c r="C88" s="155"/>
      <c r="F88" s="1161"/>
      <c r="G88" s="1161"/>
      <c r="H88" s="1161"/>
      <c r="I88" s="1161"/>
      <c r="J88" s="1161"/>
      <c r="K88" s="1161"/>
      <c r="L88" s="1161"/>
      <c r="M88" s="1161"/>
      <c r="N88" s="536"/>
      <c r="O88" s="1161"/>
      <c r="P88" s="1161"/>
      <c r="Q88" s="1161"/>
      <c r="R88" s="1161"/>
      <c r="S88" s="1161"/>
      <c r="AH88" s="7"/>
      <c r="AI88" s="7"/>
      <c r="AJ88" s="7"/>
      <c r="AK88" s="7"/>
      <c r="AM88" s="397"/>
      <c r="AN88" s="397"/>
      <c r="AO88" s="185"/>
      <c r="AP88" s="185"/>
      <c r="AQ88" s="396"/>
      <c r="AR88" s="10"/>
      <c r="AS88" s="185"/>
      <c r="AT88" s="185"/>
      <c r="AU88" s="185"/>
      <c r="AV88" s="396"/>
      <c r="BF88" s="398"/>
      <c r="BG88" s="396"/>
      <c r="BP88" s="398"/>
      <c r="BQ88" s="396"/>
      <c r="BR88" s="398"/>
      <c r="BX88" s="72"/>
      <c r="CF88" s="7"/>
      <c r="CS88" s="332" t="s">
        <v>348</v>
      </c>
      <c r="CT88" s="351" t="s">
        <v>348</v>
      </c>
      <c r="CU88" s="351" t="s">
        <v>348</v>
      </c>
      <c r="CV88" s="351" t="s">
        <v>348</v>
      </c>
      <c r="CW88" s="351" t="s">
        <v>348</v>
      </c>
      <c r="CX88" s="351" t="s">
        <v>348</v>
      </c>
      <c r="CY88" s="351" t="s">
        <v>348</v>
      </c>
      <c r="CZ88" s="351" t="s">
        <v>348</v>
      </c>
      <c r="DA88" s="351" t="s">
        <v>348</v>
      </c>
      <c r="DB88" s="351" t="s">
        <v>348</v>
      </c>
      <c r="DC88" s="351" t="s">
        <v>348</v>
      </c>
      <c r="DD88" s="351" t="s">
        <v>348</v>
      </c>
      <c r="DE88" s="326" t="s">
        <v>327</v>
      </c>
      <c r="DF88" s="343" t="s">
        <v>348</v>
      </c>
      <c r="DG88" s="340" t="s">
        <v>348</v>
      </c>
      <c r="DH88" s="340" t="s">
        <v>348</v>
      </c>
      <c r="DI88" s="340" t="s">
        <v>348</v>
      </c>
      <c r="DJ88" s="340" t="s">
        <v>348</v>
      </c>
      <c r="DK88" s="340" t="s">
        <v>348</v>
      </c>
      <c r="DL88" s="340" t="s">
        <v>348</v>
      </c>
      <c r="DM88" s="340" t="s">
        <v>348</v>
      </c>
      <c r="DN88" s="340" t="s">
        <v>348</v>
      </c>
      <c r="DO88" s="341" t="s">
        <v>348</v>
      </c>
      <c r="DP88" s="7"/>
      <c r="DQ88" s="332" t="s">
        <v>348</v>
      </c>
      <c r="DR88" s="351" t="s">
        <v>348</v>
      </c>
      <c r="DS88" s="351" t="s">
        <v>348</v>
      </c>
      <c r="DT88" s="351" t="s">
        <v>348</v>
      </c>
      <c r="DU88" s="351" t="s">
        <v>348</v>
      </c>
      <c r="DV88" s="351" t="s">
        <v>348</v>
      </c>
      <c r="DW88" s="351" t="s">
        <v>348</v>
      </c>
      <c r="DX88" s="351" t="s">
        <v>348</v>
      </c>
      <c r="DY88" s="351" t="s">
        <v>348</v>
      </c>
      <c r="DZ88" s="351" t="s">
        <v>348</v>
      </c>
      <c r="EA88" s="351" t="s">
        <v>348</v>
      </c>
      <c r="EB88" s="351" t="s">
        <v>348</v>
      </c>
      <c r="EC88" s="326" t="s">
        <v>327</v>
      </c>
      <c r="ED88" s="343" t="s">
        <v>348</v>
      </c>
      <c r="EE88" s="340" t="s">
        <v>348</v>
      </c>
      <c r="EF88" s="340" t="s">
        <v>348</v>
      </c>
      <c r="EG88" s="340" t="s">
        <v>348</v>
      </c>
      <c r="EH88" s="340" t="s">
        <v>348</v>
      </c>
      <c r="EI88" s="340" t="s">
        <v>348</v>
      </c>
      <c r="EJ88" s="340" t="s">
        <v>348</v>
      </c>
      <c r="EK88" s="340" t="s">
        <v>348</v>
      </c>
      <c r="EL88" s="340" t="s">
        <v>348</v>
      </c>
      <c r="EM88" s="341" t="s">
        <v>348</v>
      </c>
      <c r="EN88" s="7"/>
      <c r="EO88" s="332" t="s">
        <v>348</v>
      </c>
      <c r="EP88" s="351" t="s">
        <v>348</v>
      </c>
      <c r="EQ88" s="351" t="s">
        <v>348</v>
      </c>
      <c r="ER88" s="351" t="s">
        <v>348</v>
      </c>
      <c r="ES88" s="351" t="s">
        <v>348</v>
      </c>
      <c r="ET88" s="351" t="s">
        <v>348</v>
      </c>
      <c r="EU88" s="351" t="s">
        <v>348</v>
      </c>
      <c r="EV88" s="351" t="s">
        <v>348</v>
      </c>
      <c r="EW88" s="351" t="s">
        <v>348</v>
      </c>
      <c r="EX88" s="351" t="s">
        <v>348</v>
      </c>
      <c r="EY88" s="351" t="s">
        <v>348</v>
      </c>
      <c r="EZ88" s="351" t="s">
        <v>348</v>
      </c>
      <c r="FA88" s="326" t="s">
        <v>327</v>
      </c>
      <c r="FB88" s="343" t="s">
        <v>348</v>
      </c>
      <c r="FC88" s="340" t="s">
        <v>348</v>
      </c>
      <c r="FD88" s="340" t="s">
        <v>348</v>
      </c>
      <c r="FE88" s="340" t="s">
        <v>348</v>
      </c>
      <c r="FF88" s="340" t="s">
        <v>348</v>
      </c>
      <c r="FG88" s="340" t="s">
        <v>348</v>
      </c>
      <c r="FH88" s="340" t="s">
        <v>348</v>
      </c>
      <c r="FI88" s="340" t="s">
        <v>348</v>
      </c>
      <c r="FJ88" s="340" t="s">
        <v>348</v>
      </c>
      <c r="FK88" s="341" t="s">
        <v>348</v>
      </c>
    </row>
    <row r="89" spans="1:167">
      <c r="A89" s="153"/>
      <c r="B89" s="1162"/>
      <c r="C89" s="830"/>
      <c r="E89" s="156"/>
      <c r="F89" s="1161"/>
      <c r="G89" s="1161"/>
      <c r="H89" s="1161"/>
      <c r="I89" s="1161"/>
      <c r="J89" s="1161"/>
      <c r="K89" s="1161"/>
      <c r="L89" s="1161"/>
      <c r="M89" s="1161"/>
      <c r="N89" s="536"/>
      <c r="O89" s="1161"/>
      <c r="P89" s="1161"/>
      <c r="Q89" s="1161"/>
      <c r="R89" s="1161"/>
      <c r="S89" s="1161"/>
      <c r="AM89" s="394"/>
      <c r="AN89" s="395"/>
      <c r="AO89" s="185"/>
      <c r="AP89" s="185"/>
      <c r="AQ89" s="396"/>
      <c r="AR89" s="10"/>
      <c r="AS89" s="185"/>
      <c r="AT89" s="185"/>
      <c r="AU89" s="185"/>
      <c r="AV89" s="396"/>
      <c r="BF89" s="398"/>
      <c r="BG89" s="396"/>
      <c r="BP89" s="398"/>
      <c r="BQ89" s="396"/>
      <c r="BR89" s="398"/>
      <c r="BX89" s="72"/>
      <c r="CF89" s="7"/>
      <c r="CS89" s="390">
        <f t="shared" ref="CS89:DN89" si="381">SUM(CS6:CS84)</f>
        <v>193309927.70669428</v>
      </c>
      <c r="CT89" s="184">
        <f t="shared" si="381"/>
        <v>68473150.974999994</v>
      </c>
      <c r="CU89" s="184">
        <f t="shared" si="381"/>
        <v>70257303.743180498</v>
      </c>
      <c r="CV89" s="184">
        <f t="shared" si="381"/>
        <v>47558972.98851376</v>
      </c>
      <c r="CW89" s="184">
        <f t="shared" si="381"/>
        <v>7020500</v>
      </c>
      <c r="CX89" s="184">
        <f t="shared" si="381"/>
        <v>58845353.219999999</v>
      </c>
      <c r="CY89" s="184">
        <f t="shared" si="381"/>
        <v>7994178.0821917811</v>
      </c>
      <c r="CZ89" s="184">
        <f t="shared" si="381"/>
        <v>2250000</v>
      </c>
      <c r="DA89" s="184">
        <f t="shared" si="381"/>
        <v>7676532</v>
      </c>
      <c r="DB89" s="184">
        <f t="shared" si="381"/>
        <v>3000</v>
      </c>
      <c r="DC89" s="184">
        <f t="shared" si="381"/>
        <v>34371730</v>
      </c>
      <c r="DD89" s="184">
        <f t="shared" si="381"/>
        <v>40410304.199999996</v>
      </c>
      <c r="DE89" s="389"/>
      <c r="DF89" s="390">
        <f t="shared" si="381"/>
        <v>15100000</v>
      </c>
      <c r="DG89" s="184">
        <f t="shared" si="381"/>
        <v>249017697.28219178</v>
      </c>
      <c r="DH89" s="184">
        <f t="shared" si="381"/>
        <v>23060480.235180497</v>
      </c>
      <c r="DI89" s="184">
        <f t="shared" si="381"/>
        <v>60925681.350999996</v>
      </c>
      <c r="DJ89" s="184">
        <f t="shared" si="381"/>
        <v>4866266.75</v>
      </c>
      <c r="DK89" s="184">
        <f t="shared" si="381"/>
        <v>623657.20714285714</v>
      </c>
      <c r="DL89" s="184">
        <f t="shared" si="381"/>
        <v>210620</v>
      </c>
      <c r="DM89" s="184">
        <f t="shared" si="381"/>
        <v>65209840</v>
      </c>
      <c r="DN89" s="184">
        <f t="shared" si="381"/>
        <v>9583250</v>
      </c>
      <c r="DO89" s="391">
        <f>SUM(DO6:DO84)</f>
        <v>8000000</v>
      </c>
      <c r="DP89" s="7"/>
      <c r="DQ89" s="390">
        <f t="shared" ref="DQ89:EB89" si="382">SUM(DQ6:DQ84)</f>
        <v>154626993.97916692</v>
      </c>
      <c r="DR89" s="184">
        <f t="shared" si="382"/>
        <v>60770674.524999999</v>
      </c>
      <c r="DS89" s="184">
        <f t="shared" si="382"/>
        <v>61474257.213700503</v>
      </c>
      <c r="DT89" s="184">
        <f t="shared" si="382"/>
        <v>29217887.24046642</v>
      </c>
      <c r="DU89" s="184">
        <f t="shared" si="382"/>
        <v>3164174.9999999995</v>
      </c>
      <c r="DV89" s="184">
        <f t="shared" si="382"/>
        <v>50028582.919999994</v>
      </c>
      <c r="DW89" s="184">
        <f t="shared" si="382"/>
        <v>7591678.0821917811</v>
      </c>
      <c r="DX89" s="184">
        <f t="shared" si="382"/>
        <v>1847500</v>
      </c>
      <c r="DY89" s="184">
        <f t="shared" si="382"/>
        <v>7676532</v>
      </c>
      <c r="DZ89" s="184">
        <f t="shared" si="382"/>
        <v>3000</v>
      </c>
      <c r="EA89" s="184">
        <f t="shared" si="382"/>
        <v>30608372.5</v>
      </c>
      <c r="EB89" s="184">
        <f t="shared" si="382"/>
        <v>40123960.449999996</v>
      </c>
      <c r="EC89" s="389"/>
      <c r="ED89" s="390">
        <f t="shared" ref="ED89:FK89" si="383">SUM(ED6:ED84)</f>
        <v>15100000</v>
      </c>
      <c r="EE89" s="184">
        <f>SUM(EE6:EE84)</f>
        <v>218157745.41219178</v>
      </c>
      <c r="EF89" s="184">
        <f t="shared" si="383"/>
        <v>22330823.3188565</v>
      </c>
      <c r="EG89" s="184">
        <f t="shared" si="383"/>
        <v>35453824.891499996</v>
      </c>
      <c r="EH89" s="184">
        <f t="shared" si="383"/>
        <v>4866266.75</v>
      </c>
      <c r="EI89" s="184">
        <f t="shared" si="383"/>
        <v>623657.20714285714</v>
      </c>
      <c r="EJ89" s="184">
        <f t="shared" si="383"/>
        <v>22325.719999999998</v>
      </c>
      <c r="EK89" s="184">
        <f t="shared" si="383"/>
        <v>62380604</v>
      </c>
      <c r="EL89" s="184">
        <f t="shared" si="383"/>
        <v>9583250</v>
      </c>
      <c r="EM89" s="184">
        <f t="shared" si="383"/>
        <v>5064000</v>
      </c>
      <c r="EN89" s="7"/>
      <c r="EO89" s="390">
        <f t="shared" si="383"/>
        <v>38682933.727527343</v>
      </c>
      <c r="EP89" s="184">
        <f t="shared" si="383"/>
        <v>7702476.4500000002</v>
      </c>
      <c r="EQ89" s="184">
        <f t="shared" si="383"/>
        <v>8783046.529480001</v>
      </c>
      <c r="ER89" s="184">
        <f t="shared" si="383"/>
        <v>18341085.748047341</v>
      </c>
      <c r="ES89" s="184">
        <f t="shared" si="383"/>
        <v>3856325.0000000005</v>
      </c>
      <c r="ET89" s="184">
        <f t="shared" si="383"/>
        <v>8816770.3000000007</v>
      </c>
      <c r="EU89" s="184">
        <f t="shared" si="383"/>
        <v>402500</v>
      </c>
      <c r="EV89" s="184">
        <f t="shared" si="383"/>
        <v>402500</v>
      </c>
      <c r="EW89" s="184">
        <f t="shared" si="383"/>
        <v>0</v>
      </c>
      <c r="EX89" s="184">
        <f t="shared" si="383"/>
        <v>0</v>
      </c>
      <c r="EY89" s="184">
        <f t="shared" si="383"/>
        <v>3763357.5</v>
      </c>
      <c r="EZ89" s="184">
        <f t="shared" si="383"/>
        <v>286343.75</v>
      </c>
      <c r="FA89" s="389"/>
      <c r="FB89" s="390">
        <f t="shared" si="383"/>
        <v>0</v>
      </c>
      <c r="FC89" s="184">
        <f t="shared" si="383"/>
        <v>30859951.870000001</v>
      </c>
      <c r="FD89" s="184">
        <f t="shared" si="383"/>
        <v>729656.91632399999</v>
      </c>
      <c r="FE89" s="184">
        <f t="shared" si="383"/>
        <v>25471856.4595</v>
      </c>
      <c r="FF89" s="184">
        <f t="shared" si="383"/>
        <v>0</v>
      </c>
      <c r="FG89" s="184">
        <f t="shared" si="383"/>
        <v>0</v>
      </c>
      <c r="FH89" s="184">
        <f t="shared" si="383"/>
        <v>188294.28</v>
      </c>
      <c r="FI89" s="184">
        <f t="shared" si="383"/>
        <v>2829236</v>
      </c>
      <c r="FJ89" s="184">
        <f t="shared" si="383"/>
        <v>0</v>
      </c>
      <c r="FK89" s="391">
        <f t="shared" si="383"/>
        <v>2936000</v>
      </c>
    </row>
    <row r="90" spans="1:167">
      <c r="A90" s="399"/>
      <c r="B90" s="831"/>
      <c r="C90" s="538"/>
      <c r="E90" s="156"/>
      <c r="P90" s="21"/>
      <c r="Q90" s="21"/>
      <c r="R90" s="21"/>
      <c r="S90" s="21"/>
      <c r="AI90" s="7"/>
      <c r="AJ90" s="7"/>
      <c r="AK90" s="7"/>
      <c r="AM90" s="394"/>
      <c r="AN90" s="395"/>
      <c r="AO90" s="185"/>
      <c r="AP90" s="185"/>
      <c r="AQ90" s="396"/>
      <c r="AR90" s="10"/>
      <c r="AS90" s="185"/>
      <c r="AT90" s="185"/>
      <c r="AU90" s="185"/>
      <c r="AV90" s="396"/>
      <c r="BF90" s="398"/>
      <c r="BG90" s="396"/>
      <c r="BX90" s="72"/>
      <c r="CS90" s="868">
        <f t="shared" ref="CS90:DC90" si="384">CS89/$DD91</f>
        <v>0.56054443261486098</v>
      </c>
      <c r="CT90" s="868">
        <f t="shared" si="384"/>
        <v>0.19855288353772385</v>
      </c>
      <c r="CU90" s="868">
        <f t="shared" si="384"/>
        <v>0.20372642487107639</v>
      </c>
      <c r="CV90" s="868">
        <f t="shared" si="384"/>
        <v>0.13790764833372163</v>
      </c>
      <c r="CW90" s="868">
        <f t="shared" si="384"/>
        <v>2.0357475872339031E-2</v>
      </c>
      <c r="CX90" s="868">
        <f t="shared" si="384"/>
        <v>0.17063497733429497</v>
      </c>
      <c r="CY90" s="868">
        <f t="shared" si="384"/>
        <v>2.3180868517541586E-2</v>
      </c>
      <c r="CZ90" s="868">
        <f t="shared" si="384"/>
        <v>6.5243673118385902E-3</v>
      </c>
      <c r="DA90" s="868">
        <f t="shared" si="384"/>
        <v>2.2259784199592406E-2</v>
      </c>
      <c r="DB90" s="868">
        <f t="shared" si="384"/>
        <v>8.6991564157847867E-6</v>
      </c>
      <c r="DC90" s="868">
        <f t="shared" si="384"/>
        <v>9.9668351850374148E-2</v>
      </c>
      <c r="DD90" s="868">
        <f>DD89/$DD91</f>
        <v>0.11717851901508163</v>
      </c>
      <c r="DF90" s="869">
        <f t="shared" ref="DF90:DM90" si="385">DF89/$DO91</f>
        <v>3.5361818144717255E-2</v>
      </c>
      <c r="DG90" s="869">
        <f t="shared" si="385"/>
        <v>0.5831601672919946</v>
      </c>
      <c r="DH90" s="869">
        <f t="shared" si="385"/>
        <v>5.4004007179225121E-2</v>
      </c>
      <c r="DI90" s="869">
        <f t="shared" si="385"/>
        <v>0.14267833538258631</v>
      </c>
      <c r="DJ90" s="869">
        <f t="shared" si="385"/>
        <v>1.1396029129614852E-2</v>
      </c>
      <c r="DK90" s="869">
        <f t="shared" si="385"/>
        <v>1.4605068042137731E-3</v>
      </c>
      <c r="DL90" s="869">
        <f t="shared" si="385"/>
        <v>4.9323881706227473E-4</v>
      </c>
      <c r="DM90" s="869">
        <f t="shared" si="385"/>
        <v>0.15271115916066949</v>
      </c>
      <c r="DN90" s="869"/>
      <c r="DO90" s="869">
        <f>DO89/$DO91</f>
        <v>1.8734738089916426E-2</v>
      </c>
    </row>
    <row r="91" spans="1:167">
      <c r="A91" s="399"/>
      <c r="B91" s="831"/>
      <c r="C91" s="538"/>
      <c r="E91" s="156"/>
      <c r="P91" s="21"/>
      <c r="Q91" s="21"/>
      <c r="R91" s="21"/>
      <c r="S91" s="21"/>
      <c r="AI91" s="24"/>
      <c r="AJ91" s="24"/>
      <c r="AK91" s="24"/>
      <c r="AR91" s="8"/>
      <c r="BX91" s="72"/>
      <c r="CG91" s="297"/>
      <c r="CH91" s="297"/>
      <c r="CI91" s="297"/>
      <c r="CJ91" s="297"/>
      <c r="CK91" s="297"/>
      <c r="CL91" s="297"/>
      <c r="CM91" s="297"/>
      <c r="CN91" s="297"/>
      <c r="CO91" s="297"/>
      <c r="CP91" s="297"/>
      <c r="CQ91" s="297"/>
      <c r="CR91" s="297"/>
      <c r="CS91" s="297"/>
      <c r="CT91" s="297"/>
      <c r="CU91" s="297"/>
      <c r="CV91" s="297"/>
      <c r="CW91" s="297"/>
      <c r="CX91" s="297"/>
      <c r="CY91" s="297"/>
      <c r="CZ91" s="297"/>
      <c r="DA91" s="297"/>
      <c r="DB91" s="297"/>
      <c r="DC91" s="297"/>
      <c r="DD91" s="297">
        <f>SUM(CT89:DD89)</f>
        <v>344861025.20888603</v>
      </c>
      <c r="DO91" s="297">
        <f>SUM(DF89:DO89)-DN89</f>
        <v>427014242.82551509</v>
      </c>
    </row>
    <row r="92" spans="1:167">
      <c r="A92" s="399"/>
      <c r="B92" s="831"/>
      <c r="C92" s="832"/>
      <c r="E92" s="156"/>
      <c r="P92" s="21"/>
      <c r="Q92" s="21"/>
      <c r="R92" s="21"/>
      <c r="S92" s="21"/>
      <c r="AR92" s="8"/>
      <c r="BX92" s="72"/>
      <c r="CQ92" s="185"/>
      <c r="CR92" s="185"/>
      <c r="CS92" s="185"/>
      <c r="CT92" s="185"/>
      <c r="CU92" s="185"/>
      <c r="CV92" s="185"/>
      <c r="CW92" s="185"/>
      <c r="CX92" s="185"/>
      <c r="CY92" s="185"/>
      <c r="DD92" s="389">
        <f>DC89+DD89</f>
        <v>74782034.199999988</v>
      </c>
      <c r="DF92" s="389"/>
    </row>
    <row r="93" spans="1:167">
      <c r="A93" s="399"/>
      <c r="B93" s="536"/>
      <c r="C93" s="837"/>
      <c r="E93" s="156"/>
      <c r="P93" s="21"/>
      <c r="Q93" s="21"/>
      <c r="R93" s="21"/>
      <c r="S93" s="21"/>
      <c r="AR93" s="8"/>
      <c r="CQ93" s="185"/>
      <c r="CR93" s="185"/>
      <c r="CS93" s="185"/>
      <c r="CT93" s="185"/>
      <c r="CW93" s="185"/>
      <c r="CX93" s="185"/>
      <c r="CY93" s="185"/>
    </row>
    <row r="94" spans="1:167">
      <c r="A94" s="153"/>
      <c r="B94"/>
      <c r="C94" s="155"/>
      <c r="E94" s="156"/>
      <c r="AR94" s="8"/>
      <c r="CP94" s="23"/>
      <c r="CQ94" s="185"/>
      <c r="CR94" s="185"/>
      <c r="CS94" s="185"/>
      <c r="CT94" s="185"/>
      <c r="CU94" s="844"/>
      <c r="CV94" s="845"/>
      <c r="CW94" s="865"/>
      <c r="CX94" s="844"/>
      <c r="CY94" s="845"/>
      <c r="CZ94" s="865"/>
      <c r="DA94" s="857"/>
      <c r="DB94" s="859"/>
      <c r="DC94" s="862"/>
    </row>
    <row r="95" spans="1:167">
      <c r="A95" s="153"/>
      <c r="B95" s="834"/>
      <c r="C95" s="838"/>
      <c r="E95" s="156"/>
      <c r="P95" s="21"/>
      <c r="Q95" s="21"/>
      <c r="R95" s="21"/>
      <c r="S95" s="21"/>
      <c r="AR95" s="8"/>
      <c r="CQ95" s="185"/>
      <c r="CR95" s="185"/>
      <c r="CS95" s="185"/>
      <c r="CT95" s="185"/>
      <c r="DA95" s="857"/>
      <c r="DB95" s="859"/>
      <c r="DI95" s="524"/>
      <c r="DJ95" s="524"/>
      <c r="DK95" s="524"/>
      <c r="DL95" s="524"/>
      <c r="DM95" s="524"/>
      <c r="DN95" s="524"/>
      <c r="DO95" s="524"/>
    </row>
    <row r="96" spans="1:167" ht="23.25">
      <c r="A96" s="153"/>
      <c r="B96" s="834"/>
      <c r="C96" s="838"/>
      <c r="E96" s="156"/>
      <c r="P96" s="21"/>
      <c r="Q96" s="21"/>
      <c r="R96" s="21"/>
      <c r="S96" s="21"/>
      <c r="AR96" s="8"/>
      <c r="CQ96" s="185"/>
      <c r="CR96" s="185"/>
      <c r="CS96" s="185"/>
      <c r="CT96" s="185"/>
      <c r="CU96" s="851"/>
      <c r="CV96" s="851"/>
      <c r="CW96" s="863"/>
      <c r="CX96" s="847"/>
      <c r="CY96" s="851"/>
      <c r="CZ96" s="864"/>
      <c r="DA96" s="857"/>
      <c r="DB96" s="859"/>
      <c r="DC96" s="862"/>
      <c r="DI96" s="524"/>
      <c r="DJ96" s="870"/>
      <c r="DK96" s="871"/>
      <c r="DL96" s="870"/>
      <c r="DM96" s="870"/>
      <c r="DN96" s="524"/>
      <c r="DO96" s="872"/>
    </row>
    <row r="97" spans="1:119" ht="23.25">
      <c r="A97" s="153"/>
      <c r="B97" s="834"/>
      <c r="C97" s="838"/>
      <c r="E97" s="156"/>
      <c r="P97" s="21"/>
      <c r="Q97" s="21"/>
      <c r="R97" s="21"/>
      <c r="S97" s="21"/>
      <c r="AR97" s="8"/>
      <c r="CP97" s="24"/>
      <c r="CQ97" s="185"/>
      <c r="CR97" s="185"/>
      <c r="CS97" s="185"/>
      <c r="CT97" s="185"/>
      <c r="CU97" s="856"/>
      <c r="CV97" s="389"/>
      <c r="CW97" s="862"/>
      <c r="CX97" s="156"/>
      <c r="CY97" s="7"/>
      <c r="CZ97" s="862"/>
      <c r="DA97" s="857"/>
      <c r="DB97" s="859"/>
      <c r="DI97" s="524"/>
      <c r="DJ97" s="524"/>
      <c r="DK97" s="873"/>
      <c r="DL97" s="874"/>
      <c r="DM97" s="874"/>
      <c r="DN97" s="524"/>
      <c r="DO97" s="872"/>
    </row>
    <row r="98" spans="1:119" ht="23.25">
      <c r="A98" s="153"/>
      <c r="B98" s="834"/>
      <c r="C98" s="838"/>
      <c r="E98" s="156"/>
      <c r="P98" s="21"/>
      <c r="Q98" s="21"/>
      <c r="R98" s="21"/>
      <c r="S98" s="21"/>
      <c r="AR98" s="8"/>
      <c r="CP98" s="24"/>
      <c r="CQ98" s="185"/>
      <c r="CR98" s="185"/>
      <c r="CS98" s="185"/>
      <c r="CT98" s="185"/>
      <c r="CU98" s="853"/>
      <c r="CV98" s="389"/>
      <c r="CW98" s="862"/>
      <c r="CX98" s="156"/>
      <c r="CY98" s="7"/>
      <c r="CZ98" s="862"/>
      <c r="DA98" s="858"/>
      <c r="DB98" s="860"/>
      <c r="DI98" s="524"/>
      <c r="DJ98" s="524"/>
      <c r="DK98" s="873"/>
      <c r="DL98" s="874"/>
      <c r="DM98" s="874"/>
      <c r="DN98" s="524"/>
      <c r="DO98" s="872"/>
    </row>
    <row r="99" spans="1:119" ht="23.25">
      <c r="A99" s="153"/>
      <c r="B99" s="834"/>
      <c r="C99" s="838"/>
      <c r="E99" s="156"/>
      <c r="P99" s="21"/>
      <c r="Q99" s="21"/>
      <c r="R99" s="21"/>
      <c r="S99" s="21"/>
      <c r="AR99" s="8"/>
      <c r="CQ99" s="185"/>
      <c r="CR99" s="185"/>
      <c r="CS99" s="185"/>
      <c r="CT99" s="185"/>
      <c r="CW99" s="185"/>
      <c r="CX99" s="156"/>
      <c r="CY99" s="7"/>
      <c r="CZ99" s="862"/>
      <c r="DA99" s="857"/>
      <c r="DB99" s="860"/>
      <c r="DI99" s="524"/>
      <c r="DJ99" s="524"/>
      <c r="DK99" s="873"/>
      <c r="DL99" s="874"/>
      <c r="DM99" s="874"/>
      <c r="DN99" s="524"/>
      <c r="DO99" s="872"/>
    </row>
    <row r="100" spans="1:119" ht="23.25">
      <c r="A100" s="153"/>
      <c r="B100" s="5"/>
      <c r="C100" s="837"/>
      <c r="E100" s="156"/>
      <c r="N100" s="7"/>
      <c r="P100" s="21"/>
      <c r="Q100" s="21"/>
      <c r="R100" s="21"/>
      <c r="S100" s="21"/>
      <c r="AR100" s="8"/>
      <c r="CQ100" s="185"/>
      <c r="CR100" s="185"/>
      <c r="CS100" s="185"/>
      <c r="CT100" s="185"/>
      <c r="CW100" s="185"/>
      <c r="CX100" s="850"/>
      <c r="CY100" s="7"/>
      <c r="DA100" s="857"/>
      <c r="DB100" s="859"/>
      <c r="DI100" s="524"/>
      <c r="DJ100" s="874"/>
      <c r="DK100" s="873"/>
      <c r="DL100" s="874"/>
      <c r="DM100" s="875"/>
      <c r="DN100" s="524"/>
      <c r="DO100" s="872"/>
    </row>
    <row r="101" spans="1:119" ht="23.25">
      <c r="A101" s="153"/>
      <c r="B101" s="5"/>
      <c r="C101" s="155"/>
      <c r="E101" s="156"/>
      <c r="AR101" s="8"/>
      <c r="CQ101" s="185"/>
      <c r="CR101" s="185"/>
      <c r="CS101" s="185"/>
      <c r="CT101" s="185"/>
      <c r="CU101" s="185"/>
      <c r="CV101" s="389"/>
      <c r="CW101" s="185"/>
      <c r="DA101" s="857"/>
      <c r="DB101" s="859"/>
      <c r="DI101" s="524"/>
      <c r="DJ101" s="874"/>
      <c r="DK101" s="873"/>
      <c r="DL101" s="874"/>
      <c r="DM101" s="875"/>
      <c r="DN101" s="524"/>
      <c r="DO101" s="872"/>
    </row>
    <row r="102" spans="1:119" ht="23.25">
      <c r="A102" s="153"/>
      <c r="B102" s="835"/>
      <c r="C102" s="833"/>
      <c r="E102" s="156"/>
      <c r="AR102" s="8"/>
      <c r="CQ102" s="185"/>
      <c r="CR102" s="185"/>
      <c r="CS102" s="185"/>
      <c r="CT102" s="185"/>
      <c r="CU102" s="848"/>
      <c r="CV102" s="849"/>
      <c r="CW102" s="863"/>
      <c r="CX102" s="847"/>
      <c r="CY102" s="851"/>
      <c r="CZ102" s="863"/>
      <c r="DA102" s="857"/>
      <c r="DB102" s="859"/>
      <c r="DC102" s="862"/>
      <c r="DI102" s="524"/>
      <c r="DJ102" s="524"/>
      <c r="DK102" s="873"/>
      <c r="DL102" s="875"/>
      <c r="DM102" s="875"/>
      <c r="DN102" s="524"/>
      <c r="DO102" s="872"/>
    </row>
    <row r="103" spans="1:119" ht="23.25">
      <c r="A103" s="153"/>
      <c r="B103" s="183"/>
      <c r="C103" s="837"/>
      <c r="E103" s="156"/>
      <c r="CQ103" s="185"/>
      <c r="CR103" s="185"/>
      <c r="CS103" s="185"/>
      <c r="CT103" s="185"/>
      <c r="CU103" s="852"/>
      <c r="CV103" s="389"/>
      <c r="CW103" s="862"/>
      <c r="CX103" s="156"/>
      <c r="CY103" s="7"/>
      <c r="CZ103" s="862"/>
      <c r="DA103" s="857"/>
      <c r="DB103" s="861"/>
      <c r="DI103" s="524"/>
      <c r="DJ103" s="524"/>
      <c r="DK103" s="873"/>
      <c r="DL103" s="874"/>
      <c r="DM103" s="874"/>
      <c r="DN103" s="524"/>
      <c r="DO103" s="872"/>
    </row>
    <row r="104" spans="1:119" ht="23.25">
      <c r="A104" s="153"/>
      <c r="B104" s="183"/>
      <c r="C104" s="155"/>
      <c r="E104" s="156"/>
      <c r="CQ104" s="185"/>
      <c r="CR104" s="185"/>
      <c r="CS104" s="185"/>
      <c r="CT104" s="185"/>
      <c r="CU104" s="844"/>
      <c r="CV104" s="845"/>
      <c r="CW104" s="862"/>
      <c r="CX104" s="156"/>
      <c r="CY104" s="7"/>
      <c r="CZ104" s="862"/>
      <c r="DA104" s="857"/>
      <c r="DB104" s="861"/>
      <c r="DI104" s="524"/>
      <c r="DJ104" s="874"/>
      <c r="DK104" s="873"/>
      <c r="DL104" s="524"/>
      <c r="DM104" s="874"/>
      <c r="DN104" s="524"/>
      <c r="DO104" s="872"/>
    </row>
    <row r="105" spans="1:119">
      <c r="A105" s="153"/>
      <c r="B105" s="538"/>
      <c r="C105" s="833"/>
      <c r="E105" s="156"/>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c r="AS105" s="185"/>
      <c r="AT105" s="185"/>
      <c r="AU105" s="185"/>
      <c r="AV105" s="185"/>
      <c r="AW105" s="185"/>
      <c r="AX105" s="185"/>
      <c r="AY105" s="185"/>
      <c r="AZ105" s="185"/>
      <c r="BA105" s="185"/>
      <c r="BB105" s="185"/>
      <c r="BC105" s="185"/>
      <c r="BD105" s="185"/>
      <c r="BE105" s="185"/>
      <c r="BF105" s="185"/>
      <c r="BG105" s="185"/>
      <c r="BH105" s="185"/>
      <c r="BI105" s="185"/>
      <c r="BJ105" s="185"/>
      <c r="BK105" s="185"/>
      <c r="BL105" s="185"/>
      <c r="BM105" s="185"/>
      <c r="BN105" s="185"/>
      <c r="BO105" s="185"/>
      <c r="BP105" s="185"/>
      <c r="BQ105" s="185"/>
      <c r="BR105" s="185"/>
      <c r="BS105" s="185"/>
      <c r="BT105" s="185"/>
      <c r="BU105" s="185"/>
      <c r="BV105" s="185"/>
      <c r="BW105" s="185"/>
      <c r="BX105" s="185"/>
      <c r="BY105" s="185"/>
      <c r="BZ105" s="185"/>
      <c r="CA105" s="185"/>
      <c r="CB105" s="185"/>
      <c r="CC105" s="185"/>
      <c r="CD105" s="185"/>
      <c r="CE105" s="185"/>
      <c r="CF105" s="185"/>
      <c r="CG105" s="185"/>
      <c r="CH105" s="185"/>
      <c r="CI105" s="185"/>
      <c r="CJ105" s="185"/>
      <c r="CK105" s="185"/>
      <c r="CL105" s="185"/>
      <c r="CM105" s="185"/>
      <c r="CN105" s="185"/>
      <c r="CO105" s="185"/>
      <c r="CP105" s="185"/>
      <c r="CQ105" s="185"/>
      <c r="CR105" s="185"/>
      <c r="CS105" s="185"/>
      <c r="CT105" s="185"/>
      <c r="CU105" s="853"/>
      <c r="CV105" s="185"/>
      <c r="CW105" s="185"/>
      <c r="CX105" s="854"/>
      <c r="CY105" s="855"/>
      <c r="CZ105" s="867"/>
      <c r="DA105" s="857"/>
      <c r="DB105" s="861"/>
      <c r="DI105" s="524"/>
      <c r="DJ105" s="524"/>
      <c r="DK105" s="524"/>
      <c r="DL105" s="524"/>
      <c r="DM105" s="524"/>
      <c r="DN105" s="524"/>
      <c r="DO105" s="872"/>
    </row>
    <row r="106" spans="1:119">
      <c r="A106" s="153"/>
      <c r="B106" s="538"/>
      <c r="C106" s="833"/>
      <c r="E106" s="156"/>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c r="AS106" s="185"/>
      <c r="AT106" s="185"/>
      <c r="AU106" s="185"/>
      <c r="AV106" s="185"/>
      <c r="AW106" s="185"/>
      <c r="AX106" s="185"/>
      <c r="AY106" s="185"/>
      <c r="AZ106" s="185"/>
      <c r="BA106" s="185"/>
      <c r="BB106" s="185"/>
      <c r="BC106" s="185"/>
      <c r="BD106" s="185"/>
      <c r="BE106" s="185"/>
      <c r="BF106" s="185"/>
      <c r="BG106" s="185"/>
      <c r="BH106" s="185"/>
      <c r="BI106" s="185"/>
      <c r="BJ106" s="185"/>
      <c r="BK106" s="185"/>
      <c r="BL106" s="185"/>
      <c r="BM106" s="185"/>
      <c r="BN106" s="185"/>
      <c r="BO106" s="185"/>
      <c r="BP106" s="185"/>
      <c r="BQ106" s="185"/>
      <c r="BR106" s="185"/>
      <c r="BS106" s="185"/>
      <c r="BT106" s="185"/>
      <c r="BU106" s="185"/>
      <c r="BV106" s="185"/>
      <c r="BW106" s="185"/>
      <c r="BX106" s="185"/>
      <c r="BY106" s="185"/>
      <c r="BZ106" s="185"/>
      <c r="CA106" s="185"/>
      <c r="CB106" s="185"/>
      <c r="CC106" s="185"/>
      <c r="CD106" s="185"/>
      <c r="CE106" s="185"/>
      <c r="CF106" s="185"/>
      <c r="CG106" s="185"/>
      <c r="CH106" s="185"/>
      <c r="CI106" s="185"/>
      <c r="CJ106" s="185"/>
      <c r="CK106" s="185"/>
      <c r="CL106" s="185"/>
      <c r="CM106" s="185"/>
      <c r="CN106" s="185"/>
      <c r="CO106" s="185"/>
      <c r="CP106" s="185"/>
      <c r="CQ106" s="185"/>
      <c r="CR106" s="185"/>
      <c r="CS106" s="185"/>
      <c r="CT106" s="185"/>
      <c r="CW106" s="185"/>
      <c r="CX106" s="843"/>
      <c r="CY106" s="842"/>
      <c r="CZ106" s="866"/>
      <c r="DA106" s="857"/>
      <c r="DB106" s="861"/>
      <c r="DI106" s="524"/>
      <c r="DJ106" s="524"/>
      <c r="DK106" s="524"/>
      <c r="DL106" s="524"/>
      <c r="DM106" s="524"/>
      <c r="DN106" s="524"/>
      <c r="DO106" s="524"/>
    </row>
    <row r="107" spans="1:119">
      <c r="A107" s="153"/>
      <c r="B107" s="183"/>
      <c r="C107" s="837"/>
      <c r="E107" s="156"/>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c r="AS107" s="185"/>
      <c r="AT107" s="185"/>
      <c r="AU107" s="185"/>
      <c r="AV107" s="185"/>
      <c r="AW107" s="185"/>
      <c r="AX107" s="185"/>
      <c r="AY107" s="185"/>
      <c r="AZ107" s="185"/>
      <c r="BA107" s="185"/>
      <c r="BB107" s="185"/>
      <c r="BC107" s="185"/>
      <c r="BD107" s="185"/>
      <c r="BE107" s="185"/>
      <c r="BF107" s="185"/>
      <c r="BG107" s="185"/>
      <c r="BH107" s="185"/>
      <c r="BI107" s="185"/>
      <c r="BJ107" s="185"/>
      <c r="BK107" s="185"/>
      <c r="BL107" s="185"/>
      <c r="BM107" s="185"/>
      <c r="BN107" s="185"/>
      <c r="BO107" s="185"/>
      <c r="BP107" s="185"/>
      <c r="BQ107" s="185"/>
      <c r="BR107" s="185"/>
      <c r="BS107" s="185"/>
      <c r="BT107" s="185"/>
      <c r="BU107" s="185"/>
      <c r="BV107" s="185"/>
      <c r="BW107" s="185"/>
      <c r="BX107" s="185"/>
      <c r="BY107" s="185"/>
      <c r="BZ107" s="185"/>
      <c r="CA107" s="185"/>
      <c r="CB107" s="185"/>
      <c r="CC107" s="185"/>
      <c r="CD107" s="185"/>
      <c r="CE107" s="185"/>
      <c r="CF107" s="185"/>
      <c r="CG107" s="185"/>
      <c r="CH107" s="185"/>
      <c r="CI107" s="185"/>
      <c r="CJ107" s="185"/>
      <c r="CK107" s="185"/>
      <c r="CL107" s="185"/>
      <c r="CM107" s="185"/>
      <c r="CN107" s="185"/>
      <c r="CO107" s="185"/>
      <c r="CP107" s="185"/>
      <c r="CQ107" s="185"/>
      <c r="CR107" s="185"/>
      <c r="CS107" s="185"/>
      <c r="CT107" s="185"/>
      <c r="CW107" s="185"/>
      <c r="CX107" s="185"/>
      <c r="CY107" s="185"/>
      <c r="DA107" s="857"/>
      <c r="DB107" s="861"/>
      <c r="DI107" s="524"/>
      <c r="DJ107" s="524"/>
      <c r="DK107" s="524"/>
      <c r="DL107" s="524"/>
      <c r="DM107" s="524"/>
      <c r="DN107" s="524"/>
      <c r="DO107" s="524"/>
    </row>
    <row r="108" spans="1:119">
      <c r="A108" s="153"/>
      <c r="B108" s="183"/>
      <c r="C108" s="155"/>
      <c r="E108" s="156"/>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c r="AS108" s="185"/>
      <c r="AT108" s="185"/>
      <c r="AU108" s="185"/>
      <c r="AV108" s="185"/>
      <c r="AW108" s="185"/>
      <c r="AX108" s="185"/>
      <c r="AY108" s="185"/>
      <c r="AZ108" s="185"/>
      <c r="BA108" s="185"/>
      <c r="BB108" s="185"/>
      <c r="BC108" s="185"/>
      <c r="BD108" s="185"/>
      <c r="BE108" s="185"/>
      <c r="BF108" s="185"/>
      <c r="BG108" s="185"/>
      <c r="BH108" s="185"/>
      <c r="BI108" s="185"/>
      <c r="BJ108" s="185"/>
      <c r="BK108" s="185"/>
      <c r="BL108" s="185"/>
      <c r="BM108" s="185"/>
      <c r="BN108" s="185"/>
      <c r="BO108" s="185"/>
      <c r="BP108" s="185"/>
      <c r="BQ108" s="185"/>
      <c r="BR108" s="185"/>
      <c r="BS108" s="185"/>
      <c r="BT108" s="185"/>
      <c r="BU108" s="185"/>
      <c r="BV108" s="185"/>
      <c r="BW108" s="185"/>
      <c r="BX108" s="185"/>
      <c r="BY108" s="185"/>
      <c r="BZ108" s="185"/>
      <c r="CA108" s="185"/>
      <c r="CB108" s="185"/>
      <c r="CC108" s="185"/>
      <c r="CD108" s="185"/>
      <c r="CE108" s="185"/>
      <c r="CF108" s="185"/>
      <c r="CG108" s="185"/>
      <c r="CH108" s="185"/>
      <c r="CI108" s="185"/>
      <c r="CJ108" s="185"/>
      <c r="CK108" s="185"/>
      <c r="CL108" s="185"/>
      <c r="CM108" s="185"/>
      <c r="CN108" s="185"/>
      <c r="CO108" s="185"/>
      <c r="CP108" s="185"/>
      <c r="CQ108" s="185"/>
      <c r="CR108" s="185"/>
      <c r="CS108" s="185"/>
      <c r="CT108" s="185"/>
      <c r="CY108" s="185"/>
      <c r="DA108" s="857"/>
      <c r="DB108" s="861"/>
    </row>
    <row r="109" spans="1:119">
      <c r="A109" s="153"/>
      <c r="B109" s="538"/>
      <c r="C109" s="838"/>
      <c r="E109" s="156"/>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c r="AS109" s="185"/>
      <c r="AT109" s="185"/>
      <c r="AU109" s="185"/>
      <c r="AV109" s="185"/>
      <c r="AW109" s="185"/>
      <c r="AX109" s="185"/>
      <c r="AY109" s="185"/>
      <c r="AZ109" s="185"/>
      <c r="BA109" s="185"/>
      <c r="BB109" s="185"/>
      <c r="BC109" s="185"/>
      <c r="BD109" s="185"/>
      <c r="BE109" s="185"/>
      <c r="BF109" s="185"/>
      <c r="BG109" s="185"/>
      <c r="BH109" s="185"/>
      <c r="BI109" s="185"/>
      <c r="BJ109" s="185"/>
      <c r="BK109" s="185"/>
      <c r="BL109" s="185"/>
      <c r="BM109" s="185"/>
      <c r="BN109" s="185"/>
      <c r="BO109" s="185"/>
      <c r="BP109" s="185"/>
      <c r="BQ109" s="185"/>
      <c r="BR109" s="185"/>
      <c r="BS109" s="185"/>
      <c r="BT109" s="185"/>
      <c r="BU109" s="185"/>
      <c r="BV109" s="185"/>
      <c r="BW109" s="185"/>
      <c r="BX109" s="185"/>
      <c r="BY109" s="185"/>
      <c r="BZ109" s="185"/>
      <c r="CA109" s="185"/>
      <c r="CB109" s="185"/>
      <c r="CC109" s="185"/>
      <c r="CD109" s="185"/>
      <c r="CE109" s="185"/>
      <c r="CF109" s="185"/>
      <c r="CG109" s="185"/>
      <c r="CH109" s="185"/>
      <c r="CI109" s="185"/>
      <c r="CJ109" s="185"/>
      <c r="CK109" s="185"/>
      <c r="CL109" s="185"/>
      <c r="CM109" s="185"/>
      <c r="CN109" s="185"/>
      <c r="CO109" s="185"/>
      <c r="CP109" s="185"/>
      <c r="CQ109" s="185"/>
      <c r="CR109" s="185"/>
      <c r="CS109" s="185"/>
      <c r="CT109" s="185"/>
      <c r="CY109" s="185"/>
      <c r="DA109" s="857"/>
      <c r="DB109" s="861"/>
    </row>
    <row r="110" spans="1:119">
      <c r="A110" s="153"/>
      <c r="B110" s="538"/>
      <c r="C110" s="838"/>
      <c r="E110" s="156"/>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c r="AS110" s="185"/>
      <c r="AT110" s="185"/>
      <c r="AU110" s="185"/>
      <c r="AV110" s="185"/>
      <c r="AW110" s="185"/>
      <c r="AX110" s="185"/>
      <c r="AY110" s="185"/>
      <c r="AZ110" s="185"/>
      <c r="BA110" s="185"/>
      <c r="BB110" s="185"/>
      <c r="BC110" s="185"/>
      <c r="BD110" s="185"/>
      <c r="BE110" s="185"/>
      <c r="BF110" s="185"/>
      <c r="BG110" s="185"/>
      <c r="BH110" s="185"/>
      <c r="BI110" s="185"/>
      <c r="BJ110" s="185"/>
      <c r="BK110" s="185"/>
      <c r="BL110" s="185"/>
      <c r="BM110" s="185"/>
      <c r="BN110" s="185"/>
      <c r="BO110" s="185"/>
      <c r="BP110" s="185"/>
      <c r="BQ110" s="185"/>
      <c r="BR110" s="185"/>
      <c r="BS110" s="185"/>
      <c r="BT110" s="185"/>
      <c r="BU110" s="185"/>
      <c r="BV110" s="185"/>
      <c r="BW110" s="185"/>
      <c r="BX110" s="185"/>
      <c r="BY110" s="185"/>
      <c r="BZ110" s="185"/>
      <c r="CA110" s="185"/>
      <c r="CB110" s="185"/>
      <c r="CC110" s="185"/>
      <c r="CD110" s="185"/>
      <c r="CE110" s="185"/>
      <c r="CF110" s="185"/>
      <c r="CG110" s="185"/>
      <c r="CH110" s="185"/>
      <c r="CI110" s="185"/>
      <c r="CJ110" s="185"/>
      <c r="CK110" s="185"/>
      <c r="CL110" s="185"/>
      <c r="CM110" s="185"/>
      <c r="CN110" s="185"/>
      <c r="CO110" s="185"/>
      <c r="CP110" s="185"/>
      <c r="CQ110" s="185"/>
      <c r="CR110" s="185"/>
      <c r="CS110" s="185"/>
      <c r="CT110" s="185"/>
      <c r="CU110" s="846"/>
      <c r="CV110" s="389"/>
      <c r="CW110" s="862"/>
      <c r="CX110" s="846"/>
      <c r="CY110" s="389"/>
      <c r="CZ110" s="862"/>
      <c r="DA110" s="857"/>
      <c r="DB110" s="859"/>
      <c r="DC110" s="862"/>
    </row>
    <row r="111" spans="1:119">
      <c r="A111" s="153"/>
      <c r="B111" s="538"/>
      <c r="C111" s="838"/>
      <c r="E111" s="156"/>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c r="AS111" s="185"/>
      <c r="AT111" s="185"/>
      <c r="AU111" s="185"/>
      <c r="AV111" s="185"/>
      <c r="AW111" s="185"/>
      <c r="AX111" s="185"/>
      <c r="AY111" s="185"/>
      <c r="AZ111" s="185"/>
      <c r="BA111" s="185"/>
      <c r="BB111" s="185"/>
      <c r="BC111" s="185"/>
      <c r="BD111" s="185"/>
      <c r="BE111" s="185"/>
      <c r="BF111" s="185"/>
      <c r="BG111" s="185"/>
      <c r="BH111" s="185"/>
      <c r="BI111" s="185"/>
      <c r="BJ111" s="185"/>
      <c r="BK111" s="185"/>
      <c r="BL111" s="185"/>
      <c r="BM111" s="185"/>
      <c r="BN111" s="185"/>
      <c r="BO111" s="185"/>
      <c r="BP111" s="185"/>
      <c r="BQ111" s="185"/>
      <c r="BR111" s="185"/>
      <c r="BS111" s="185"/>
      <c r="BT111" s="185"/>
      <c r="BU111" s="185"/>
      <c r="BV111" s="185"/>
      <c r="BW111" s="185"/>
      <c r="BX111" s="185"/>
      <c r="BY111" s="185"/>
      <c r="BZ111" s="185"/>
      <c r="CA111" s="185"/>
      <c r="CB111" s="185"/>
      <c r="CC111" s="185"/>
      <c r="CD111" s="185"/>
      <c r="CE111" s="185"/>
      <c r="CF111" s="185"/>
      <c r="CG111" s="185"/>
      <c r="CH111" s="185"/>
      <c r="CI111" s="185"/>
      <c r="CJ111" s="185"/>
      <c r="CK111" s="185"/>
      <c r="CL111" s="185"/>
      <c r="CM111" s="185"/>
      <c r="CN111" s="185"/>
      <c r="CO111" s="185"/>
      <c r="CP111" s="185"/>
      <c r="CQ111" s="185"/>
      <c r="CR111" s="185"/>
      <c r="CS111" s="185"/>
      <c r="CT111" s="185"/>
      <c r="CU111" s="846"/>
      <c r="CV111" s="389"/>
      <c r="CW111" s="862"/>
      <c r="CX111" s="846"/>
      <c r="CY111" s="389"/>
      <c r="CZ111" s="862"/>
      <c r="DA111" s="857"/>
      <c r="DB111" s="859"/>
      <c r="DC111" s="862"/>
    </row>
    <row r="112" spans="1:119">
      <c r="A112" s="153"/>
      <c r="B112" s="538"/>
      <c r="C112" s="838"/>
      <c r="E112" s="156"/>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c r="AS112" s="185"/>
      <c r="AT112" s="185"/>
      <c r="AU112" s="185"/>
      <c r="AV112" s="185"/>
      <c r="AW112" s="185"/>
      <c r="AX112" s="185"/>
      <c r="AY112" s="185"/>
      <c r="AZ112" s="185"/>
      <c r="BA112" s="185"/>
      <c r="BB112" s="185"/>
      <c r="BC112" s="185"/>
      <c r="BD112" s="185"/>
      <c r="BE112" s="185"/>
      <c r="BF112" s="185"/>
      <c r="BG112" s="185"/>
      <c r="BH112" s="185"/>
      <c r="BI112" s="185"/>
      <c r="BJ112" s="185"/>
      <c r="BK112" s="185"/>
      <c r="BL112" s="185"/>
      <c r="BM112" s="185"/>
      <c r="BN112" s="185"/>
      <c r="BO112" s="185"/>
      <c r="BP112" s="185"/>
      <c r="BQ112" s="185"/>
      <c r="BR112" s="185"/>
      <c r="BS112" s="185"/>
      <c r="BT112" s="185"/>
      <c r="BU112" s="185"/>
      <c r="BV112" s="185"/>
      <c r="BW112" s="185"/>
      <c r="BX112" s="185"/>
      <c r="BY112" s="185"/>
      <c r="BZ112" s="185"/>
      <c r="CA112" s="185"/>
      <c r="CB112" s="185"/>
      <c r="CC112" s="185"/>
      <c r="CD112" s="185"/>
      <c r="CE112" s="185"/>
      <c r="CF112" s="185"/>
      <c r="CG112" s="185"/>
      <c r="CH112" s="185"/>
      <c r="CI112" s="185"/>
      <c r="CJ112" s="185"/>
      <c r="CK112" s="185"/>
      <c r="CL112" s="185"/>
      <c r="CM112" s="185"/>
      <c r="CN112" s="185"/>
      <c r="CO112" s="185"/>
      <c r="CP112" s="185"/>
      <c r="CQ112" s="185"/>
      <c r="CR112" s="185"/>
      <c r="CS112" s="185"/>
      <c r="CT112" s="185"/>
      <c r="CU112" s="185"/>
      <c r="CV112" s="185"/>
      <c r="CW112" s="185"/>
      <c r="CX112" s="185"/>
      <c r="CY112" s="185"/>
    </row>
    <row r="113" spans="1:103">
      <c r="A113" s="153"/>
      <c r="B113" s="538"/>
      <c r="C113" s="838"/>
      <c r="E113" s="156"/>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c r="AS113" s="185"/>
      <c r="AT113" s="185"/>
      <c r="AU113" s="185"/>
      <c r="AV113" s="185"/>
      <c r="AW113" s="185"/>
      <c r="AX113" s="185"/>
      <c r="AY113" s="185"/>
      <c r="AZ113" s="185"/>
      <c r="BA113" s="185"/>
      <c r="BB113" s="185"/>
      <c r="BC113" s="185"/>
      <c r="BD113" s="185"/>
      <c r="BE113" s="185"/>
      <c r="BF113" s="185"/>
      <c r="BG113" s="185"/>
      <c r="BH113" s="185"/>
      <c r="BI113" s="185"/>
      <c r="BJ113" s="185"/>
      <c r="BK113" s="185"/>
      <c r="BL113" s="185"/>
      <c r="BM113" s="185"/>
      <c r="BN113" s="185"/>
      <c r="BO113" s="185"/>
      <c r="BP113" s="185"/>
      <c r="BQ113" s="185"/>
      <c r="BR113" s="185"/>
      <c r="BS113" s="185"/>
      <c r="BT113" s="185"/>
      <c r="BU113" s="185"/>
      <c r="BV113" s="185"/>
      <c r="BW113" s="185"/>
      <c r="BX113" s="185"/>
      <c r="BY113" s="185"/>
      <c r="BZ113" s="185"/>
      <c r="CA113" s="185"/>
      <c r="CB113" s="185"/>
      <c r="CC113" s="185"/>
      <c r="CD113" s="185"/>
      <c r="CE113" s="185"/>
      <c r="CF113" s="185"/>
      <c r="CG113" s="185"/>
      <c r="CH113" s="185"/>
      <c r="CI113" s="185"/>
      <c r="CJ113" s="185"/>
      <c r="CK113" s="185"/>
      <c r="CL113" s="185"/>
      <c r="CM113" s="185"/>
      <c r="CN113" s="185"/>
      <c r="CO113" s="185"/>
      <c r="CP113" s="185"/>
      <c r="CQ113" s="185"/>
      <c r="CR113" s="185"/>
      <c r="CS113" s="185"/>
      <c r="CT113" s="185"/>
      <c r="CU113" s="185"/>
      <c r="CV113" s="185"/>
      <c r="CW113" s="185"/>
      <c r="CX113" s="185"/>
      <c r="CY113" s="185"/>
    </row>
    <row r="114" spans="1:103">
      <c r="A114" s="153"/>
      <c r="B114" s="538"/>
      <c r="C114" s="838"/>
      <c r="E114" s="156"/>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c r="AS114" s="185"/>
      <c r="AT114" s="185"/>
      <c r="AU114" s="185"/>
      <c r="AV114" s="185"/>
      <c r="AW114" s="185"/>
      <c r="AX114" s="185"/>
      <c r="AY114" s="185"/>
      <c r="AZ114" s="185"/>
      <c r="BA114" s="185"/>
      <c r="BB114" s="185"/>
      <c r="BC114" s="185"/>
      <c r="BD114" s="185"/>
      <c r="BE114" s="185"/>
      <c r="BF114" s="185"/>
      <c r="BG114" s="185"/>
      <c r="BH114" s="185"/>
      <c r="BI114" s="185"/>
      <c r="BJ114" s="185"/>
      <c r="BK114" s="185"/>
      <c r="BL114" s="185"/>
      <c r="BM114" s="185"/>
      <c r="BN114" s="185"/>
      <c r="BO114" s="185"/>
      <c r="BP114" s="185"/>
      <c r="BQ114" s="185"/>
      <c r="BR114" s="185"/>
      <c r="BS114" s="185"/>
      <c r="BT114" s="185"/>
      <c r="BU114" s="185"/>
      <c r="BV114" s="185"/>
      <c r="BW114" s="185"/>
      <c r="BX114" s="185"/>
      <c r="BY114" s="185"/>
      <c r="BZ114" s="185"/>
      <c r="CA114" s="185"/>
      <c r="CB114" s="185"/>
      <c r="CC114" s="185"/>
      <c r="CD114" s="185"/>
      <c r="CE114" s="185"/>
      <c r="CF114" s="185"/>
      <c r="CG114" s="185"/>
      <c r="CH114" s="185"/>
      <c r="CI114" s="185"/>
      <c r="CJ114" s="185"/>
      <c r="CK114" s="185"/>
      <c r="CL114" s="185"/>
      <c r="CM114" s="185"/>
      <c r="CN114" s="185"/>
      <c r="CO114" s="185"/>
      <c r="CP114" s="185"/>
      <c r="CQ114" s="185"/>
      <c r="CR114" s="185"/>
      <c r="CS114" s="185"/>
      <c r="CT114" s="185"/>
      <c r="CU114" s="185"/>
      <c r="CV114" s="185"/>
      <c r="CW114" s="185"/>
      <c r="CX114" s="185"/>
      <c r="CY114" s="185"/>
    </row>
    <row r="115" spans="1:103">
      <c r="A115" s="153"/>
      <c r="B115" s="538"/>
      <c r="C115" s="838"/>
      <c r="E115" s="156"/>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c r="AS115" s="185"/>
      <c r="AT115" s="185"/>
      <c r="AU115" s="185"/>
      <c r="AV115" s="185"/>
      <c r="AW115" s="185"/>
      <c r="AX115" s="185"/>
      <c r="AY115" s="185"/>
      <c r="AZ115" s="185"/>
      <c r="BA115" s="185"/>
      <c r="BB115" s="185"/>
      <c r="BC115" s="185"/>
      <c r="BD115" s="185"/>
      <c r="BE115" s="185"/>
      <c r="BF115" s="185"/>
      <c r="BG115" s="185"/>
      <c r="BH115" s="185"/>
      <c r="BI115" s="185"/>
      <c r="BJ115" s="185"/>
      <c r="BK115" s="185"/>
      <c r="BL115" s="185"/>
      <c r="BM115" s="185"/>
      <c r="BN115" s="185"/>
      <c r="BO115" s="185"/>
      <c r="BP115" s="185"/>
      <c r="BQ115" s="185"/>
      <c r="BR115" s="185"/>
      <c r="BS115" s="185"/>
      <c r="BT115" s="185"/>
      <c r="BU115" s="185"/>
      <c r="BV115" s="185"/>
      <c r="BW115" s="185"/>
      <c r="BX115" s="185"/>
      <c r="BY115" s="185"/>
      <c r="BZ115" s="185"/>
      <c r="CA115" s="185"/>
      <c r="CB115" s="185"/>
      <c r="CC115" s="185"/>
      <c r="CD115" s="185"/>
      <c r="CE115" s="185"/>
      <c r="CF115" s="185"/>
      <c r="CG115" s="185"/>
      <c r="CH115" s="185"/>
      <c r="CI115" s="185"/>
      <c r="CJ115" s="185"/>
      <c r="CK115" s="185"/>
      <c r="CL115" s="185"/>
      <c r="CM115" s="185"/>
      <c r="CN115" s="185"/>
      <c r="CO115" s="185"/>
      <c r="CP115" s="185"/>
      <c r="CQ115" s="185"/>
      <c r="CR115" s="185"/>
      <c r="CS115" s="185"/>
      <c r="CT115" s="185"/>
      <c r="CU115" s="185"/>
      <c r="CV115" s="185"/>
      <c r="CW115" s="185"/>
      <c r="CX115" s="185"/>
      <c r="CY115" s="185"/>
    </row>
    <row r="116" spans="1:103">
      <c r="A116" s="153"/>
      <c r="B116" s="183"/>
      <c r="C116" s="837"/>
      <c r="E116" s="156"/>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c r="AS116" s="185"/>
      <c r="AT116" s="185"/>
      <c r="AU116" s="185"/>
      <c r="AV116" s="185"/>
      <c r="AW116" s="185"/>
      <c r="AX116" s="185"/>
      <c r="AY116" s="185"/>
      <c r="AZ116" s="185"/>
      <c r="BA116" s="185"/>
      <c r="BB116" s="185"/>
      <c r="BC116" s="185"/>
      <c r="BD116" s="185"/>
      <c r="BE116" s="185"/>
      <c r="BF116" s="185"/>
      <c r="BG116" s="185"/>
      <c r="BH116" s="185"/>
      <c r="BI116" s="185"/>
      <c r="BJ116" s="185"/>
      <c r="BK116" s="185"/>
      <c r="BL116" s="185"/>
      <c r="BM116" s="185"/>
      <c r="BN116" s="185"/>
      <c r="BO116" s="185"/>
      <c r="BP116" s="185"/>
      <c r="BQ116" s="185"/>
      <c r="BR116" s="185"/>
      <c r="BS116" s="185"/>
      <c r="BT116" s="185"/>
      <c r="BU116" s="185"/>
      <c r="BV116" s="185"/>
      <c r="BW116" s="185"/>
      <c r="BX116" s="185"/>
      <c r="BY116" s="185"/>
      <c r="BZ116" s="185"/>
      <c r="CA116" s="185"/>
      <c r="CB116" s="185"/>
      <c r="CC116" s="185"/>
      <c r="CD116" s="185"/>
      <c r="CE116" s="185"/>
      <c r="CF116" s="185"/>
      <c r="CG116" s="185"/>
      <c r="CH116" s="185"/>
      <c r="CI116" s="185"/>
      <c r="CJ116" s="185"/>
      <c r="CK116" s="185"/>
      <c r="CL116" s="185"/>
      <c r="CM116" s="185"/>
      <c r="CN116" s="185"/>
      <c r="CO116" s="185"/>
      <c r="CP116" s="185"/>
      <c r="CQ116" s="185"/>
      <c r="CR116" s="185"/>
      <c r="CS116" s="185"/>
      <c r="CT116" s="185"/>
      <c r="CU116" s="185"/>
      <c r="CV116" s="185"/>
      <c r="CW116" s="185"/>
      <c r="CX116" s="185"/>
      <c r="CY116" s="185"/>
    </row>
    <row r="117" spans="1:103">
      <c r="A117" s="153"/>
      <c r="B117" s="183"/>
      <c r="C117" s="155"/>
      <c r="E117" s="156"/>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c r="AS117" s="185"/>
      <c r="AT117" s="185"/>
      <c r="AU117" s="185"/>
      <c r="AV117" s="185"/>
      <c r="AW117" s="185"/>
      <c r="AX117" s="185"/>
      <c r="AY117" s="185"/>
      <c r="AZ117" s="185"/>
      <c r="BA117" s="185"/>
      <c r="BB117" s="185"/>
      <c r="BC117" s="185"/>
      <c r="BD117" s="185"/>
      <c r="BE117" s="185"/>
      <c r="BF117" s="185"/>
      <c r="BG117" s="185"/>
      <c r="BH117" s="185"/>
      <c r="BI117" s="185"/>
      <c r="BJ117" s="185"/>
      <c r="BK117" s="185"/>
      <c r="BL117" s="185"/>
      <c r="BM117" s="185"/>
      <c r="BN117" s="185"/>
      <c r="BO117" s="185"/>
      <c r="BP117" s="185"/>
      <c r="BQ117" s="185"/>
      <c r="BR117" s="185"/>
      <c r="BS117" s="185"/>
      <c r="BT117" s="185"/>
      <c r="BU117" s="185"/>
      <c r="BV117" s="185"/>
      <c r="BW117" s="185"/>
      <c r="BX117" s="185"/>
      <c r="BY117" s="185"/>
      <c r="BZ117" s="185"/>
      <c r="CA117" s="185"/>
      <c r="CB117" s="185"/>
      <c r="CC117" s="185"/>
      <c r="CD117" s="185"/>
      <c r="CE117" s="185"/>
      <c r="CF117" s="185"/>
      <c r="CG117" s="185"/>
      <c r="CH117" s="185"/>
      <c r="CI117" s="185"/>
      <c r="CJ117" s="185"/>
      <c r="CK117" s="185"/>
      <c r="CL117" s="185"/>
      <c r="CM117" s="185"/>
      <c r="CN117" s="185"/>
      <c r="CO117" s="185"/>
      <c r="CP117" s="185"/>
      <c r="CQ117" s="185"/>
      <c r="CR117" s="185"/>
      <c r="CS117" s="185"/>
      <c r="CT117" s="185"/>
      <c r="CU117" s="185"/>
      <c r="CV117" s="185"/>
      <c r="CW117" s="185"/>
      <c r="CX117" s="185"/>
      <c r="CY117" s="185"/>
    </row>
    <row r="118" spans="1:103">
      <c r="A118" s="153"/>
      <c r="B118" s="836"/>
      <c r="C118" s="833"/>
      <c r="E118" s="156"/>
      <c r="F118" s="17"/>
      <c r="G118" s="17"/>
      <c r="H118" s="17"/>
      <c r="I118" s="17"/>
      <c r="J118" s="17"/>
      <c r="K118" s="17"/>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c r="AS118" s="185"/>
      <c r="AT118" s="185"/>
      <c r="AU118" s="185"/>
      <c r="AV118" s="185"/>
      <c r="AW118" s="185"/>
      <c r="AX118" s="185"/>
      <c r="AY118" s="185"/>
      <c r="AZ118" s="185"/>
      <c r="BA118" s="185"/>
      <c r="BB118" s="185"/>
      <c r="BC118" s="185"/>
      <c r="BD118" s="185"/>
      <c r="BE118" s="185"/>
      <c r="BF118" s="185"/>
      <c r="BG118" s="185"/>
      <c r="BH118" s="185"/>
      <c r="BI118" s="185"/>
      <c r="BJ118" s="185"/>
      <c r="BK118" s="185"/>
      <c r="BL118" s="185"/>
      <c r="BM118" s="185"/>
      <c r="BN118" s="185"/>
      <c r="BO118" s="185"/>
      <c r="BP118" s="185"/>
      <c r="BQ118" s="185"/>
      <c r="BR118" s="185"/>
      <c r="BS118" s="185"/>
      <c r="BT118" s="185"/>
      <c r="BU118" s="185"/>
      <c r="BV118" s="185"/>
      <c r="BW118" s="185"/>
      <c r="BX118" s="185"/>
      <c r="BY118" s="185"/>
      <c r="BZ118" s="185"/>
      <c r="CA118" s="185"/>
      <c r="CB118" s="185"/>
      <c r="CC118" s="185"/>
      <c r="CD118" s="185"/>
      <c r="CE118" s="185"/>
      <c r="CF118" s="185"/>
      <c r="CG118" s="185"/>
      <c r="CH118" s="185"/>
      <c r="CI118" s="185"/>
      <c r="CJ118" s="185"/>
      <c r="CK118" s="185"/>
      <c r="CL118" s="185"/>
      <c r="CM118" s="185"/>
      <c r="CN118" s="185"/>
      <c r="CO118" s="185"/>
      <c r="CP118" s="185"/>
      <c r="CQ118" s="185"/>
      <c r="CR118" s="185"/>
      <c r="CS118" s="185"/>
      <c r="CT118" s="185"/>
      <c r="CU118" s="185"/>
      <c r="CV118" s="185"/>
      <c r="CW118" s="185"/>
      <c r="CX118" s="185"/>
      <c r="CY118" s="185"/>
    </row>
    <row r="119" spans="1:103">
      <c r="A119" s="153"/>
      <c r="B119" s="183"/>
      <c r="C119" s="837"/>
      <c r="E119" s="156"/>
      <c r="F119" s="17"/>
      <c r="G119" s="17"/>
      <c r="H119" s="17"/>
      <c r="I119" s="17"/>
      <c r="J119" s="17"/>
      <c r="K119" s="17"/>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c r="AS119" s="185"/>
      <c r="AT119" s="185"/>
      <c r="AU119" s="185"/>
      <c r="AV119" s="185"/>
      <c r="AW119" s="185"/>
      <c r="AX119" s="185"/>
      <c r="AY119" s="185"/>
      <c r="AZ119" s="185"/>
      <c r="BA119" s="185"/>
      <c r="BB119" s="185"/>
      <c r="BC119" s="185"/>
      <c r="BD119" s="185"/>
      <c r="BE119" s="185"/>
      <c r="BF119" s="185"/>
      <c r="BG119" s="185"/>
      <c r="BH119" s="185"/>
      <c r="BI119" s="185"/>
      <c r="BJ119" s="185"/>
      <c r="BK119" s="185"/>
      <c r="BL119" s="185"/>
      <c r="BM119" s="185"/>
      <c r="BN119" s="185"/>
      <c r="BO119" s="185"/>
      <c r="BP119" s="185"/>
      <c r="BQ119" s="185"/>
      <c r="BR119" s="185"/>
      <c r="BS119" s="185"/>
      <c r="BT119" s="185"/>
      <c r="BU119" s="185"/>
      <c r="BV119" s="185"/>
      <c r="BW119" s="185"/>
      <c r="BX119" s="185"/>
      <c r="BY119" s="185"/>
      <c r="BZ119" s="185"/>
      <c r="CA119" s="185"/>
      <c r="CB119" s="185"/>
      <c r="CC119" s="185"/>
      <c r="CD119" s="185"/>
      <c r="CE119" s="185"/>
      <c r="CF119" s="185"/>
      <c r="CG119" s="185"/>
      <c r="CH119" s="185"/>
      <c r="CI119" s="185"/>
      <c r="CJ119" s="185"/>
      <c r="CK119" s="185"/>
      <c r="CL119" s="185"/>
      <c r="CM119" s="185"/>
      <c r="CN119" s="185"/>
      <c r="CO119" s="185"/>
      <c r="CP119" s="185"/>
      <c r="CQ119" s="185"/>
      <c r="CR119" s="185"/>
      <c r="CS119" s="185"/>
      <c r="CT119" s="185"/>
      <c r="CU119" s="185"/>
      <c r="CV119" s="185"/>
      <c r="CW119" s="185"/>
      <c r="CX119" s="185"/>
      <c r="CY119" s="185"/>
    </row>
    <row r="120" spans="1:103">
      <c r="A120" s="153"/>
      <c r="B120" s="183"/>
      <c r="C120" s="155"/>
      <c r="E120" s="156"/>
      <c r="F120" s="17"/>
      <c r="G120" s="17"/>
      <c r="H120" s="17"/>
      <c r="I120" s="17"/>
      <c r="J120" s="17"/>
      <c r="K120" s="17"/>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c r="AS120" s="185"/>
      <c r="AT120" s="185"/>
      <c r="AU120" s="185"/>
      <c r="AV120" s="185"/>
      <c r="AW120" s="185"/>
      <c r="AX120" s="185"/>
      <c r="AY120" s="185"/>
      <c r="AZ120" s="185"/>
      <c r="BA120" s="185"/>
      <c r="BB120" s="185"/>
      <c r="BC120" s="185"/>
      <c r="BD120" s="185"/>
      <c r="BE120" s="185"/>
      <c r="BF120" s="185"/>
      <c r="BG120" s="185"/>
      <c r="BH120" s="185"/>
      <c r="BI120" s="185"/>
      <c r="BJ120" s="185"/>
      <c r="BK120" s="185"/>
      <c r="BL120" s="185"/>
      <c r="BM120" s="185"/>
      <c r="BN120" s="185"/>
      <c r="BO120" s="185"/>
      <c r="BP120" s="185"/>
      <c r="BQ120" s="185"/>
      <c r="BR120" s="185"/>
      <c r="BS120" s="185"/>
      <c r="BT120" s="185"/>
      <c r="BU120" s="185"/>
      <c r="BV120" s="185"/>
      <c r="BW120" s="185"/>
      <c r="BX120" s="185"/>
      <c r="BY120" s="185"/>
      <c r="BZ120" s="185"/>
      <c r="CA120" s="185"/>
      <c r="CB120" s="185"/>
      <c r="CC120" s="185"/>
      <c r="CD120" s="185"/>
      <c r="CE120" s="185"/>
      <c r="CF120" s="185"/>
      <c r="CG120" s="185"/>
      <c r="CH120" s="185"/>
      <c r="CI120" s="185"/>
      <c r="CJ120" s="185"/>
      <c r="CK120" s="185"/>
      <c r="CL120" s="185"/>
      <c r="CM120" s="185"/>
      <c r="CN120" s="185"/>
      <c r="CO120" s="185"/>
      <c r="CP120" s="185"/>
      <c r="CQ120" s="185"/>
      <c r="CR120" s="185"/>
      <c r="CS120" s="185"/>
      <c r="CT120" s="185"/>
      <c r="CU120" s="185"/>
      <c r="CV120" s="185"/>
      <c r="CW120" s="185"/>
      <c r="CX120" s="185"/>
      <c r="CY120" s="185"/>
    </row>
    <row r="121" spans="1:103">
      <c r="A121" s="153"/>
      <c r="B121" s="538"/>
      <c r="C121" s="838"/>
      <c r="E121" s="156"/>
      <c r="F121" s="17"/>
      <c r="G121" s="17"/>
      <c r="H121" s="17"/>
      <c r="I121" s="17"/>
      <c r="J121" s="17"/>
      <c r="K121" s="17"/>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c r="AS121" s="185"/>
      <c r="AT121" s="185"/>
      <c r="AU121" s="185"/>
      <c r="AV121" s="185"/>
      <c r="AW121" s="185"/>
      <c r="AX121" s="185"/>
      <c r="AY121" s="185"/>
      <c r="AZ121" s="185"/>
      <c r="BA121" s="185"/>
      <c r="BB121" s="185"/>
      <c r="BC121" s="185"/>
      <c r="BD121" s="185"/>
      <c r="BE121" s="185"/>
      <c r="BF121" s="185"/>
      <c r="BG121" s="185"/>
      <c r="BH121" s="185"/>
      <c r="BI121" s="185"/>
      <c r="BJ121" s="185"/>
      <c r="BK121" s="185"/>
      <c r="BL121" s="185"/>
      <c r="BM121" s="185"/>
      <c r="BN121" s="185"/>
      <c r="BO121" s="185"/>
      <c r="BP121" s="185"/>
      <c r="BQ121" s="185"/>
      <c r="BR121" s="185"/>
      <c r="BS121" s="185"/>
      <c r="BT121" s="185"/>
      <c r="BU121" s="185"/>
      <c r="BV121" s="185"/>
      <c r="BW121" s="185"/>
      <c r="BX121" s="185"/>
      <c r="BY121" s="185"/>
      <c r="BZ121" s="185"/>
      <c r="CA121" s="185"/>
      <c r="CB121" s="185"/>
      <c r="CC121" s="185"/>
      <c r="CD121" s="185"/>
      <c r="CE121" s="185"/>
      <c r="CF121" s="185"/>
      <c r="CG121" s="185"/>
      <c r="CH121" s="185"/>
      <c r="CI121" s="185"/>
      <c r="CJ121" s="185"/>
      <c r="CK121" s="185"/>
      <c r="CL121" s="185"/>
      <c r="CM121" s="185"/>
      <c r="CN121" s="185"/>
      <c r="CO121" s="185"/>
      <c r="CP121" s="185"/>
      <c r="CQ121" s="185"/>
      <c r="CR121" s="185"/>
      <c r="CS121" s="185"/>
      <c r="CT121" s="185"/>
      <c r="CU121" s="185"/>
      <c r="CV121" s="185"/>
      <c r="CW121" s="185"/>
      <c r="CX121" s="185"/>
      <c r="CY121" s="185"/>
    </row>
    <row r="122" spans="1:103">
      <c r="A122" s="153"/>
      <c r="B122" s="538"/>
      <c r="C122" s="838"/>
      <c r="E122" s="156"/>
      <c r="F122" s="17"/>
      <c r="G122" s="17"/>
      <c r="H122" s="17"/>
      <c r="I122" s="17"/>
      <c r="J122" s="17"/>
      <c r="K122" s="17"/>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c r="AS122" s="185"/>
      <c r="AT122" s="185"/>
      <c r="AU122" s="185"/>
      <c r="AV122" s="185"/>
      <c r="AW122" s="185"/>
      <c r="AX122" s="185"/>
      <c r="AY122" s="185"/>
      <c r="AZ122" s="185"/>
      <c r="BA122" s="185"/>
      <c r="BB122" s="185"/>
      <c r="BC122" s="185"/>
      <c r="BD122" s="185"/>
      <c r="BE122" s="185"/>
      <c r="BF122" s="185"/>
      <c r="BG122" s="185"/>
      <c r="BH122" s="185"/>
      <c r="BI122" s="185"/>
      <c r="BJ122" s="185"/>
      <c r="BK122" s="185"/>
      <c r="BL122" s="185"/>
      <c r="BM122" s="185"/>
      <c r="BN122" s="185"/>
      <c r="BO122" s="185"/>
      <c r="BP122" s="185"/>
      <c r="BQ122" s="185"/>
      <c r="BR122" s="185"/>
      <c r="BS122" s="185"/>
      <c r="BT122" s="185"/>
      <c r="BU122" s="185"/>
      <c r="BV122" s="185"/>
      <c r="BW122" s="185"/>
      <c r="BX122" s="185"/>
      <c r="BY122" s="185"/>
      <c r="BZ122" s="185"/>
      <c r="CA122" s="185"/>
      <c r="CB122" s="185"/>
      <c r="CC122" s="185"/>
      <c r="CD122" s="185"/>
      <c r="CE122" s="185"/>
      <c r="CF122" s="185"/>
      <c r="CG122" s="185"/>
      <c r="CH122" s="185"/>
      <c r="CI122" s="185"/>
      <c r="CJ122" s="185"/>
      <c r="CK122" s="185"/>
      <c r="CL122" s="185"/>
      <c r="CM122" s="185"/>
      <c r="CN122" s="185"/>
      <c r="CO122" s="185"/>
      <c r="CP122" s="185"/>
      <c r="CQ122" s="185"/>
      <c r="CR122" s="185"/>
      <c r="CS122" s="185"/>
      <c r="CT122" s="185"/>
      <c r="CU122" s="185"/>
      <c r="CV122" s="185"/>
      <c r="CW122" s="185"/>
      <c r="CX122" s="185"/>
      <c r="CY122" s="185"/>
    </row>
    <row r="123" spans="1:103">
      <c r="A123" s="153"/>
      <c r="B123" s="538"/>
      <c r="C123" s="838"/>
      <c r="E123" s="156"/>
      <c r="F123" s="17"/>
      <c r="G123" s="17"/>
      <c r="H123" s="17"/>
      <c r="I123" s="17"/>
      <c r="J123" s="17"/>
      <c r="K123" s="17"/>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c r="AS123" s="185"/>
      <c r="AT123" s="185"/>
      <c r="AU123" s="185"/>
      <c r="AV123" s="185"/>
      <c r="AW123" s="185"/>
      <c r="AX123" s="185"/>
      <c r="AY123" s="185"/>
      <c r="AZ123" s="185"/>
      <c r="BA123" s="185"/>
      <c r="BB123" s="185"/>
      <c r="BC123" s="185"/>
      <c r="BD123" s="185"/>
      <c r="BE123" s="185"/>
      <c r="BF123" s="185"/>
      <c r="BG123" s="185"/>
      <c r="BH123" s="185"/>
      <c r="BI123" s="185"/>
      <c r="BJ123" s="185"/>
      <c r="BK123" s="185"/>
      <c r="BL123" s="185"/>
      <c r="BM123" s="185"/>
      <c r="BN123" s="185"/>
      <c r="BO123" s="185"/>
      <c r="BP123" s="185"/>
      <c r="BQ123" s="185"/>
      <c r="BR123" s="185"/>
      <c r="BS123" s="185"/>
      <c r="BT123" s="185"/>
      <c r="BU123" s="185"/>
      <c r="BV123" s="185"/>
      <c r="BW123" s="185"/>
      <c r="BX123" s="185"/>
      <c r="BY123" s="185"/>
      <c r="BZ123" s="185"/>
      <c r="CA123" s="185"/>
      <c r="CB123" s="185"/>
      <c r="CC123" s="185"/>
      <c r="CD123" s="185"/>
      <c r="CE123" s="185"/>
      <c r="CF123" s="185"/>
      <c r="CG123" s="185"/>
      <c r="CH123" s="185"/>
      <c r="CI123" s="185"/>
      <c r="CJ123" s="185"/>
      <c r="CK123" s="185"/>
      <c r="CL123" s="185"/>
      <c r="CM123" s="185"/>
      <c r="CN123" s="185"/>
      <c r="CO123" s="185"/>
      <c r="CP123" s="185"/>
      <c r="CQ123" s="185"/>
      <c r="CR123" s="185"/>
      <c r="CS123" s="185"/>
      <c r="CT123" s="185"/>
      <c r="CU123" s="185"/>
      <c r="CV123" s="185"/>
      <c r="CW123" s="185"/>
      <c r="CX123" s="185"/>
      <c r="CY123" s="185"/>
    </row>
    <row r="124" spans="1:103">
      <c r="A124" s="153"/>
      <c r="B124" s="183"/>
      <c r="C124" s="837"/>
      <c r="E124" s="156"/>
      <c r="F124" s="17"/>
      <c r="G124" s="17"/>
      <c r="H124" s="17"/>
      <c r="I124" s="17"/>
      <c r="J124" s="17"/>
      <c r="K124" s="17"/>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c r="AS124" s="185"/>
      <c r="AT124" s="185"/>
      <c r="AU124" s="185"/>
      <c r="AV124" s="185"/>
      <c r="AW124" s="185"/>
      <c r="AX124" s="185"/>
      <c r="AY124" s="185"/>
      <c r="AZ124" s="185"/>
      <c r="BA124" s="185"/>
      <c r="BB124" s="185"/>
      <c r="BC124" s="185"/>
      <c r="BD124" s="185"/>
      <c r="BE124" s="185"/>
      <c r="BF124" s="185"/>
      <c r="BG124" s="185"/>
      <c r="BH124" s="185"/>
      <c r="BI124" s="185"/>
      <c r="BJ124" s="185"/>
      <c r="BK124" s="185"/>
      <c r="BL124" s="185"/>
      <c r="BM124" s="185"/>
      <c r="BN124" s="185"/>
      <c r="BO124" s="185"/>
      <c r="BP124" s="185"/>
      <c r="BQ124" s="185"/>
      <c r="BR124" s="185"/>
      <c r="BS124" s="185"/>
      <c r="BT124" s="185"/>
      <c r="BU124" s="185"/>
      <c r="BV124" s="185"/>
      <c r="BW124" s="185"/>
      <c r="BX124" s="185"/>
      <c r="BY124" s="185"/>
      <c r="BZ124" s="185"/>
      <c r="CA124" s="185"/>
      <c r="CB124" s="185"/>
      <c r="CC124" s="185"/>
      <c r="CD124" s="185"/>
      <c r="CE124" s="185"/>
      <c r="CF124" s="185"/>
      <c r="CG124" s="185"/>
      <c r="CH124" s="185"/>
      <c r="CI124" s="185"/>
      <c r="CJ124" s="185"/>
      <c r="CK124" s="185"/>
      <c r="CL124" s="185"/>
      <c r="CM124" s="185"/>
      <c r="CN124" s="185"/>
      <c r="CO124" s="185"/>
      <c r="CP124" s="185"/>
      <c r="CQ124" s="185"/>
      <c r="CR124" s="185"/>
      <c r="CS124" s="185"/>
      <c r="CT124" s="185"/>
      <c r="CU124" s="185"/>
      <c r="CV124" s="185"/>
      <c r="CW124" s="185"/>
      <c r="CX124" s="185"/>
      <c r="CY124" s="185"/>
    </row>
    <row r="125" spans="1:103">
      <c r="A125" s="153"/>
      <c r="B125" s="183"/>
      <c r="C125" s="155"/>
      <c r="E125" s="156"/>
      <c r="F125" s="17"/>
      <c r="G125" s="17"/>
      <c r="H125" s="17"/>
      <c r="I125" s="17"/>
      <c r="J125" s="17"/>
      <c r="K125" s="17"/>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c r="AS125" s="185"/>
      <c r="AT125" s="185"/>
      <c r="AU125" s="185"/>
      <c r="AV125" s="185"/>
      <c r="AW125" s="185"/>
      <c r="AX125" s="185"/>
      <c r="AY125" s="185"/>
      <c r="AZ125" s="185"/>
      <c r="BA125" s="185"/>
      <c r="BB125" s="185"/>
      <c r="BC125" s="185"/>
      <c r="BD125" s="185"/>
      <c r="BE125" s="185"/>
      <c r="BF125" s="185"/>
      <c r="BG125" s="185"/>
      <c r="BH125" s="185"/>
      <c r="BI125" s="185"/>
      <c r="BJ125" s="185"/>
      <c r="BK125" s="185"/>
      <c r="BL125" s="185"/>
      <c r="BM125" s="185"/>
      <c r="BN125" s="185"/>
      <c r="BO125" s="185"/>
      <c r="BP125" s="185"/>
      <c r="BQ125" s="185"/>
      <c r="BR125" s="185"/>
      <c r="BS125" s="185"/>
      <c r="BT125" s="185"/>
      <c r="BU125" s="185"/>
      <c r="BV125" s="185"/>
      <c r="BW125" s="185"/>
      <c r="BX125" s="185"/>
      <c r="BY125" s="185"/>
      <c r="BZ125" s="185"/>
      <c r="CA125" s="185"/>
      <c r="CB125" s="185"/>
      <c r="CC125" s="185"/>
      <c r="CD125" s="185"/>
      <c r="CE125" s="185"/>
      <c r="CF125" s="185"/>
      <c r="CG125" s="185"/>
      <c r="CH125" s="185"/>
      <c r="CI125" s="185"/>
      <c r="CJ125" s="185"/>
      <c r="CK125" s="185"/>
      <c r="CL125" s="185"/>
      <c r="CM125" s="185"/>
      <c r="CN125" s="185"/>
      <c r="CO125" s="185"/>
      <c r="CP125" s="185"/>
      <c r="CQ125" s="185"/>
      <c r="CR125" s="185"/>
      <c r="CS125" s="185"/>
      <c r="CT125" s="185"/>
      <c r="CU125" s="185"/>
      <c r="CV125" s="185"/>
      <c r="CW125" s="185"/>
      <c r="CX125" s="185"/>
      <c r="CY125" s="185"/>
    </row>
    <row r="126" spans="1:103">
      <c r="A126" s="153"/>
      <c r="B126" s="538"/>
      <c r="C126" s="833"/>
      <c r="E126" s="156"/>
      <c r="F126" s="17"/>
      <c r="G126" s="17"/>
      <c r="H126" s="17"/>
      <c r="I126" s="17"/>
      <c r="J126" s="17"/>
      <c r="K126" s="17"/>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c r="AS126" s="185"/>
      <c r="AT126" s="185"/>
      <c r="AU126" s="185"/>
      <c r="AV126" s="185"/>
      <c r="AW126" s="185"/>
      <c r="AX126" s="185"/>
      <c r="AY126" s="185"/>
      <c r="AZ126" s="185"/>
      <c r="BA126" s="185"/>
      <c r="BB126" s="185"/>
      <c r="BC126" s="185"/>
      <c r="BD126" s="185"/>
      <c r="BE126" s="185"/>
      <c r="BF126" s="185"/>
      <c r="BG126" s="185"/>
      <c r="BH126" s="185"/>
      <c r="BI126" s="185"/>
      <c r="BJ126" s="185"/>
      <c r="BK126" s="185"/>
      <c r="BL126" s="185"/>
      <c r="BM126" s="185"/>
      <c r="BN126" s="185"/>
      <c r="BO126" s="185"/>
      <c r="BP126" s="185"/>
      <c r="BQ126" s="185"/>
      <c r="BR126" s="185"/>
      <c r="BS126" s="185"/>
      <c r="BT126" s="185"/>
      <c r="BU126" s="185"/>
      <c r="BV126" s="185"/>
      <c r="BW126" s="185"/>
      <c r="BX126" s="185"/>
      <c r="BY126" s="185"/>
      <c r="BZ126" s="185"/>
      <c r="CA126" s="185"/>
      <c r="CB126" s="185"/>
      <c r="CC126" s="185"/>
      <c r="CD126" s="185"/>
      <c r="CE126" s="185"/>
      <c r="CF126" s="185"/>
      <c r="CG126" s="185"/>
      <c r="CH126" s="185"/>
      <c r="CI126" s="185"/>
      <c r="CJ126" s="185"/>
      <c r="CK126" s="185"/>
      <c r="CL126" s="185"/>
      <c r="CM126" s="185"/>
      <c r="CN126" s="185"/>
      <c r="CO126" s="185"/>
      <c r="CP126" s="185"/>
      <c r="CQ126" s="185"/>
      <c r="CR126" s="185"/>
      <c r="CS126" s="185"/>
      <c r="CT126" s="185"/>
      <c r="CU126" s="185"/>
      <c r="CV126" s="185"/>
      <c r="CW126" s="185"/>
      <c r="CX126" s="185"/>
      <c r="CY126" s="185"/>
    </row>
    <row r="127" spans="1:103">
      <c r="A127" s="153"/>
      <c r="B127" s="183"/>
      <c r="C127" s="837"/>
      <c r="E127" s="156"/>
      <c r="F127" s="17"/>
      <c r="G127" s="17"/>
      <c r="H127" s="17"/>
      <c r="I127" s="17"/>
      <c r="J127" s="17"/>
      <c r="K127" s="17"/>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c r="AS127" s="185"/>
      <c r="AT127" s="185"/>
      <c r="AU127" s="185"/>
      <c r="AV127" s="185"/>
      <c r="AW127" s="185"/>
      <c r="AX127" s="185"/>
      <c r="AY127" s="185"/>
      <c r="AZ127" s="185"/>
      <c r="BA127" s="185"/>
      <c r="BB127" s="185"/>
      <c r="BC127" s="185"/>
      <c r="BD127" s="185"/>
      <c r="BE127" s="185"/>
      <c r="BF127" s="185"/>
      <c r="BG127" s="185"/>
      <c r="BH127" s="185"/>
      <c r="BI127" s="185"/>
      <c r="BJ127" s="185"/>
      <c r="BK127" s="185"/>
      <c r="BL127" s="185"/>
      <c r="BM127" s="185"/>
      <c r="BN127" s="185"/>
      <c r="BO127" s="185"/>
      <c r="BP127" s="185"/>
      <c r="BQ127" s="185"/>
      <c r="BR127" s="185"/>
      <c r="BS127" s="185"/>
      <c r="BT127" s="185"/>
      <c r="BU127" s="185"/>
      <c r="BV127" s="185"/>
      <c r="BW127" s="185"/>
      <c r="BX127" s="185"/>
      <c r="BY127" s="185"/>
      <c r="BZ127" s="185"/>
      <c r="CA127" s="185"/>
      <c r="CB127" s="185"/>
      <c r="CC127" s="185"/>
      <c r="CD127" s="185"/>
      <c r="CE127" s="185"/>
      <c r="CF127" s="185"/>
      <c r="CG127" s="185"/>
      <c r="CH127" s="185"/>
      <c r="CI127" s="185"/>
      <c r="CJ127" s="185"/>
      <c r="CK127" s="185"/>
      <c r="CL127" s="185"/>
      <c r="CM127" s="185"/>
      <c r="CN127" s="185"/>
      <c r="CO127" s="185"/>
      <c r="CP127" s="185"/>
      <c r="CQ127" s="185"/>
      <c r="CR127" s="185"/>
      <c r="CS127" s="185"/>
      <c r="CT127" s="185"/>
      <c r="CU127" s="185"/>
      <c r="CV127" s="185"/>
      <c r="CW127" s="185"/>
      <c r="CX127" s="185"/>
      <c r="CY127" s="185"/>
    </row>
    <row r="128" spans="1:103">
      <c r="A128" s="153"/>
      <c r="B128" s="183"/>
      <c r="C128" s="155"/>
      <c r="E128" s="156"/>
      <c r="F128" s="17"/>
      <c r="G128" s="17"/>
      <c r="H128" s="17"/>
      <c r="I128" s="17"/>
      <c r="J128" s="17"/>
      <c r="K128" s="17"/>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c r="AS128" s="185"/>
      <c r="AT128" s="185"/>
      <c r="AU128" s="185"/>
      <c r="AV128" s="185"/>
      <c r="AW128" s="185"/>
      <c r="AX128" s="185"/>
      <c r="AY128" s="185"/>
      <c r="AZ128" s="185"/>
      <c r="BA128" s="185"/>
      <c r="BB128" s="185"/>
      <c r="BC128" s="185"/>
      <c r="BD128" s="185"/>
      <c r="BE128" s="185"/>
      <c r="BF128" s="185"/>
      <c r="BG128" s="185"/>
      <c r="BH128" s="185"/>
      <c r="BI128" s="185"/>
      <c r="BJ128" s="185"/>
      <c r="BK128" s="185"/>
      <c r="BL128" s="185"/>
      <c r="BM128" s="185"/>
      <c r="BN128" s="185"/>
      <c r="BO128" s="185"/>
      <c r="BP128" s="185"/>
      <c r="BQ128" s="185"/>
      <c r="BR128" s="185"/>
      <c r="BS128" s="185"/>
      <c r="BT128" s="185"/>
      <c r="BU128" s="185"/>
      <c r="BV128" s="185"/>
      <c r="BW128" s="185"/>
      <c r="BX128" s="185"/>
      <c r="BY128" s="185"/>
      <c r="BZ128" s="185"/>
      <c r="CA128" s="185"/>
      <c r="CB128" s="185"/>
      <c r="CC128" s="185"/>
      <c r="CD128" s="185"/>
      <c r="CE128" s="185"/>
      <c r="CF128" s="185"/>
      <c r="CG128" s="185"/>
      <c r="CH128" s="185"/>
      <c r="CI128" s="185"/>
      <c r="CJ128" s="185"/>
      <c r="CK128" s="185"/>
      <c r="CL128" s="185"/>
      <c r="CM128" s="185"/>
      <c r="CN128" s="185"/>
      <c r="CO128" s="185"/>
      <c r="CP128" s="185"/>
      <c r="CQ128" s="185"/>
      <c r="CR128" s="185"/>
      <c r="CS128" s="185"/>
      <c r="CT128" s="185"/>
      <c r="CU128" s="185"/>
      <c r="CV128" s="185"/>
      <c r="CW128" s="185"/>
      <c r="CX128" s="185"/>
      <c r="CY128" s="185"/>
    </row>
    <row r="129" spans="1:103">
      <c r="A129" s="153"/>
      <c r="B129" s="538"/>
      <c r="C129" s="838"/>
      <c r="E129" s="156"/>
      <c r="F129" s="17"/>
      <c r="G129" s="17"/>
      <c r="H129" s="17"/>
      <c r="I129" s="17"/>
      <c r="J129" s="17"/>
      <c r="K129" s="17"/>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c r="AS129" s="185"/>
      <c r="AT129" s="185"/>
      <c r="AU129" s="185"/>
      <c r="AV129" s="185"/>
      <c r="AW129" s="185"/>
      <c r="AX129" s="185"/>
      <c r="AY129" s="185"/>
      <c r="AZ129" s="185"/>
      <c r="BA129" s="185"/>
      <c r="BB129" s="185"/>
      <c r="BC129" s="185"/>
      <c r="BD129" s="185"/>
      <c r="BE129" s="185"/>
      <c r="BF129" s="185"/>
      <c r="BG129" s="185"/>
      <c r="BH129" s="185"/>
      <c r="BI129" s="185"/>
      <c r="BJ129" s="185"/>
      <c r="BK129" s="185"/>
      <c r="BL129" s="185"/>
      <c r="BM129" s="185"/>
      <c r="BN129" s="185"/>
      <c r="BO129" s="185"/>
      <c r="BP129" s="185"/>
      <c r="BQ129" s="185"/>
      <c r="BR129" s="185"/>
      <c r="BS129" s="185"/>
      <c r="BT129" s="185"/>
      <c r="BU129" s="185"/>
      <c r="BV129" s="185"/>
      <c r="BW129" s="185"/>
      <c r="BX129" s="185"/>
      <c r="BY129" s="185"/>
      <c r="BZ129" s="185"/>
      <c r="CA129" s="185"/>
      <c r="CB129" s="185"/>
      <c r="CC129" s="185"/>
      <c r="CD129" s="185"/>
      <c r="CE129" s="185"/>
      <c r="CF129" s="185"/>
      <c r="CG129" s="185"/>
      <c r="CH129" s="185"/>
      <c r="CI129" s="185"/>
      <c r="CJ129" s="185"/>
      <c r="CK129" s="185"/>
      <c r="CL129" s="185"/>
      <c r="CM129" s="185"/>
      <c r="CN129" s="185"/>
      <c r="CO129" s="185"/>
      <c r="CP129" s="185"/>
      <c r="CQ129" s="185"/>
      <c r="CR129" s="185"/>
      <c r="CS129" s="185"/>
      <c r="CT129" s="185"/>
      <c r="CU129" s="185"/>
      <c r="CV129" s="185"/>
      <c r="CW129" s="185"/>
      <c r="CX129" s="185"/>
      <c r="CY129" s="185"/>
    </row>
    <row r="130" spans="1:103">
      <c r="A130" s="153"/>
      <c r="B130" s="538"/>
      <c r="C130" s="838"/>
      <c r="E130" s="156"/>
      <c r="F130" s="17"/>
      <c r="G130" s="17"/>
      <c r="H130" s="17"/>
      <c r="I130" s="17"/>
      <c r="J130" s="17"/>
      <c r="K130" s="17"/>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c r="AS130" s="185"/>
      <c r="AT130" s="185"/>
      <c r="AU130" s="185"/>
      <c r="AV130" s="185"/>
      <c r="AW130" s="185"/>
      <c r="AX130" s="185"/>
      <c r="AY130" s="185"/>
      <c r="AZ130" s="185"/>
      <c r="BA130" s="185"/>
      <c r="BB130" s="185"/>
      <c r="BC130" s="185"/>
      <c r="BD130" s="185"/>
      <c r="BE130" s="185"/>
      <c r="BF130" s="185"/>
      <c r="BG130" s="185"/>
      <c r="BH130" s="185"/>
      <c r="BI130" s="185"/>
      <c r="BJ130" s="185"/>
      <c r="BK130" s="185"/>
      <c r="BL130" s="185"/>
      <c r="BM130" s="185"/>
      <c r="BN130" s="185"/>
      <c r="BO130" s="185"/>
      <c r="BP130" s="185"/>
      <c r="BQ130" s="185"/>
      <c r="BR130" s="185"/>
      <c r="BS130" s="185"/>
      <c r="BT130" s="185"/>
      <c r="BU130" s="185"/>
      <c r="BV130" s="185"/>
      <c r="BW130" s="185"/>
      <c r="BX130" s="185"/>
      <c r="BY130" s="185"/>
      <c r="BZ130" s="185"/>
      <c r="CA130" s="185"/>
      <c r="CB130" s="185"/>
      <c r="CC130" s="185"/>
      <c r="CD130" s="185"/>
      <c r="CE130" s="185"/>
      <c r="CF130" s="185"/>
      <c r="CG130" s="185"/>
      <c r="CH130" s="185"/>
      <c r="CI130" s="185"/>
      <c r="CJ130" s="185"/>
      <c r="CK130" s="185"/>
      <c r="CL130" s="185"/>
      <c r="CM130" s="185"/>
      <c r="CN130" s="185"/>
      <c r="CO130" s="185"/>
      <c r="CP130" s="185"/>
      <c r="CQ130" s="185"/>
      <c r="CR130" s="185"/>
      <c r="CS130" s="185"/>
      <c r="CT130" s="185"/>
      <c r="CU130" s="185"/>
      <c r="CV130" s="185"/>
      <c r="CW130" s="185"/>
      <c r="CX130" s="185"/>
      <c r="CY130" s="185"/>
    </row>
    <row r="131" spans="1:103">
      <c r="A131" s="153"/>
      <c r="B131" s="538"/>
      <c r="C131" s="838"/>
      <c r="E131" s="156"/>
      <c r="F131" s="17"/>
      <c r="G131" s="17"/>
      <c r="H131" s="17"/>
      <c r="I131" s="17"/>
      <c r="J131" s="17"/>
      <c r="K131" s="17"/>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5"/>
      <c r="BS131" s="185"/>
      <c r="BT131" s="185"/>
      <c r="BU131" s="185"/>
      <c r="BV131" s="185"/>
      <c r="BW131" s="185"/>
      <c r="BX131" s="185"/>
      <c r="BY131" s="185"/>
      <c r="BZ131" s="185"/>
      <c r="CA131" s="185"/>
      <c r="CB131" s="185"/>
      <c r="CC131" s="185"/>
      <c r="CD131" s="185"/>
      <c r="CE131" s="185"/>
      <c r="CF131" s="185"/>
      <c r="CG131" s="185"/>
      <c r="CH131" s="185"/>
      <c r="CI131" s="185"/>
      <c r="CJ131" s="185"/>
      <c r="CK131" s="185"/>
      <c r="CL131" s="185"/>
      <c r="CM131" s="185"/>
      <c r="CN131" s="185"/>
      <c r="CO131" s="185"/>
      <c r="CP131" s="185"/>
      <c r="CQ131" s="185"/>
      <c r="CR131" s="185"/>
      <c r="CS131" s="185"/>
      <c r="CT131" s="185"/>
      <c r="CU131" s="185"/>
      <c r="CV131" s="185"/>
      <c r="CW131" s="185"/>
      <c r="CX131" s="185"/>
      <c r="CY131" s="185"/>
    </row>
    <row r="132" spans="1:103">
      <c r="A132" s="153"/>
      <c r="B132" s="153"/>
      <c r="C132" s="837"/>
      <c r="E132" s="8"/>
      <c r="F132" s="17"/>
      <c r="G132" s="17"/>
      <c r="H132" s="17"/>
      <c r="I132" s="17"/>
      <c r="J132" s="17"/>
      <c r="K132" s="17"/>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c r="AS132" s="185"/>
      <c r="AT132" s="185"/>
      <c r="AU132" s="185"/>
      <c r="AV132" s="185"/>
      <c r="AW132" s="185"/>
      <c r="AX132" s="185"/>
      <c r="AY132" s="185"/>
      <c r="AZ132" s="185"/>
      <c r="BA132" s="185"/>
      <c r="BB132" s="185"/>
      <c r="BC132" s="185"/>
      <c r="BD132" s="185"/>
      <c r="BE132" s="185"/>
      <c r="BF132" s="185"/>
      <c r="BG132" s="185"/>
      <c r="BH132" s="185"/>
      <c r="BI132" s="185"/>
      <c r="BJ132" s="185"/>
      <c r="BK132" s="185"/>
      <c r="BL132" s="185"/>
      <c r="BM132" s="185"/>
      <c r="BN132" s="185"/>
      <c r="BO132" s="185"/>
      <c r="BP132" s="185"/>
      <c r="BQ132" s="185"/>
      <c r="BR132" s="185"/>
      <c r="BS132" s="185"/>
      <c r="BT132" s="185"/>
      <c r="BU132" s="185"/>
      <c r="BV132" s="185"/>
      <c r="BW132" s="185"/>
      <c r="BX132" s="185"/>
      <c r="BY132" s="185"/>
      <c r="BZ132" s="185"/>
      <c r="CA132" s="185"/>
      <c r="CB132" s="185"/>
      <c r="CC132" s="185"/>
      <c r="CD132" s="185"/>
      <c r="CE132" s="185"/>
      <c r="CF132" s="185"/>
      <c r="CG132" s="185"/>
      <c r="CH132" s="185"/>
      <c r="CI132" s="185"/>
      <c r="CJ132" s="185"/>
      <c r="CK132" s="185"/>
      <c r="CL132" s="185"/>
      <c r="CM132" s="185"/>
      <c r="CN132" s="185"/>
      <c r="CO132" s="185"/>
      <c r="CP132" s="185"/>
      <c r="CQ132" s="185"/>
      <c r="CR132" s="185"/>
      <c r="CS132" s="185"/>
      <c r="CT132" s="185"/>
      <c r="CU132" s="185"/>
      <c r="CV132" s="185"/>
      <c r="CW132" s="185"/>
      <c r="CX132" s="185"/>
      <c r="CY132" s="185"/>
    </row>
    <row r="133" spans="1:103">
      <c r="A133" s="153"/>
      <c r="B133" s="153"/>
      <c r="C133" s="183"/>
      <c r="E133" s="8"/>
      <c r="F133" s="17"/>
      <c r="G133" s="17"/>
      <c r="H133" s="17"/>
      <c r="I133" s="17"/>
      <c r="J133" s="17"/>
      <c r="K133" s="17"/>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c r="AS133" s="185"/>
      <c r="AT133" s="185"/>
      <c r="AU133" s="185"/>
      <c r="AV133" s="185"/>
      <c r="AW133" s="185"/>
      <c r="AX133" s="185"/>
      <c r="AY133" s="185"/>
      <c r="AZ133" s="185"/>
      <c r="BA133" s="185"/>
      <c r="BB133" s="185"/>
      <c r="BC133" s="185"/>
      <c r="BD133" s="185"/>
      <c r="BE133" s="185"/>
      <c r="BF133" s="185"/>
      <c r="BG133" s="185"/>
      <c r="BH133" s="185"/>
      <c r="BI133" s="185"/>
      <c r="BJ133" s="185"/>
      <c r="BK133" s="185"/>
      <c r="BL133" s="185"/>
      <c r="BM133" s="185"/>
      <c r="BN133" s="185"/>
      <c r="BO133" s="185"/>
      <c r="BP133" s="185"/>
      <c r="BQ133" s="185"/>
      <c r="BR133" s="185"/>
      <c r="BS133" s="185"/>
      <c r="BT133" s="185"/>
      <c r="BU133" s="185"/>
      <c r="BV133" s="185"/>
      <c r="BW133" s="185"/>
      <c r="BX133" s="185"/>
      <c r="BY133" s="185"/>
      <c r="BZ133" s="185"/>
      <c r="CA133" s="185"/>
      <c r="CB133" s="185"/>
      <c r="CC133" s="185"/>
      <c r="CD133" s="185"/>
      <c r="CE133" s="185"/>
      <c r="CF133" s="185"/>
      <c r="CG133" s="185"/>
      <c r="CH133" s="185"/>
      <c r="CI133" s="185"/>
      <c r="CJ133" s="185"/>
      <c r="CK133" s="185"/>
      <c r="CL133" s="185"/>
      <c r="CM133" s="185"/>
      <c r="CN133" s="185"/>
      <c r="CO133" s="185"/>
      <c r="CP133" s="185"/>
      <c r="CQ133" s="185"/>
      <c r="CR133" s="185"/>
      <c r="CS133" s="185"/>
      <c r="CT133" s="185"/>
      <c r="CU133" s="185"/>
      <c r="CV133" s="185"/>
      <c r="CW133" s="185"/>
      <c r="CX133" s="185"/>
      <c r="CY133" s="185"/>
    </row>
    <row r="134" spans="1:103">
      <c r="A134" s="153"/>
      <c r="B134" s="153"/>
      <c r="C134" s="183"/>
      <c r="E134" s="8"/>
      <c r="F134" s="17"/>
      <c r="G134" s="17"/>
      <c r="H134" s="17"/>
      <c r="I134" s="17"/>
      <c r="J134" s="17"/>
      <c r="K134" s="17"/>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c r="AS134" s="185"/>
      <c r="AT134" s="185"/>
      <c r="AU134" s="185"/>
      <c r="AV134" s="185"/>
      <c r="AW134" s="185"/>
      <c r="AX134" s="185"/>
      <c r="AY134" s="185"/>
      <c r="AZ134" s="185"/>
      <c r="BA134" s="185"/>
      <c r="BB134" s="185"/>
      <c r="BC134" s="185"/>
      <c r="BD134" s="185"/>
      <c r="BE134" s="185"/>
      <c r="BF134" s="185"/>
      <c r="BG134" s="185"/>
      <c r="BH134" s="185"/>
      <c r="BI134" s="185"/>
      <c r="BJ134" s="185"/>
      <c r="BK134" s="185"/>
      <c r="BL134" s="185"/>
      <c r="BM134" s="185"/>
      <c r="BN134" s="185"/>
      <c r="BO134" s="185"/>
      <c r="BP134" s="185"/>
      <c r="BQ134" s="185"/>
      <c r="BR134" s="185"/>
      <c r="BS134" s="185"/>
      <c r="BT134" s="185"/>
      <c r="BU134" s="185"/>
      <c r="BV134" s="185"/>
      <c r="BW134" s="185"/>
      <c r="BX134" s="185"/>
      <c r="BY134" s="185"/>
      <c r="BZ134" s="185"/>
      <c r="CA134" s="185"/>
      <c r="CB134" s="185"/>
      <c r="CC134" s="185"/>
      <c r="CD134" s="185"/>
      <c r="CE134" s="185"/>
      <c r="CF134" s="185"/>
      <c r="CG134" s="185"/>
      <c r="CH134" s="185"/>
      <c r="CI134" s="185"/>
      <c r="CJ134" s="185"/>
      <c r="CK134" s="185"/>
      <c r="CL134" s="185"/>
      <c r="CM134" s="185"/>
      <c r="CN134" s="185"/>
      <c r="CO134" s="185"/>
      <c r="CP134" s="185"/>
      <c r="CQ134" s="185"/>
      <c r="CR134" s="185"/>
      <c r="CS134" s="185"/>
      <c r="CT134" s="185"/>
      <c r="CU134" s="185"/>
      <c r="CV134" s="185"/>
      <c r="CW134" s="185"/>
      <c r="CX134" s="185"/>
      <c r="CY134" s="185"/>
    </row>
    <row r="135" spans="1:103">
      <c r="A135" s="153"/>
      <c r="B135" s="153"/>
      <c r="C135" s="183"/>
      <c r="E135" s="8"/>
      <c r="F135" s="17"/>
      <c r="G135" s="17"/>
      <c r="H135" s="17"/>
      <c r="I135" s="17"/>
      <c r="J135" s="17"/>
      <c r="K135" s="17"/>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c r="AS135" s="185"/>
      <c r="AT135" s="185"/>
      <c r="AU135" s="185"/>
      <c r="AV135" s="185"/>
      <c r="AW135" s="185"/>
      <c r="AX135" s="185"/>
      <c r="AY135" s="185"/>
      <c r="AZ135" s="185"/>
      <c r="BA135" s="185"/>
      <c r="BB135" s="185"/>
      <c r="BC135" s="185"/>
      <c r="BD135" s="185"/>
      <c r="BE135" s="185"/>
      <c r="BF135" s="185"/>
      <c r="BG135" s="185"/>
      <c r="BH135" s="185"/>
      <c r="BI135" s="185"/>
      <c r="BJ135" s="185"/>
      <c r="BK135" s="185"/>
      <c r="BL135" s="185"/>
      <c r="BM135" s="185"/>
      <c r="BN135" s="185"/>
      <c r="BO135" s="185"/>
      <c r="BP135" s="185"/>
      <c r="BQ135" s="185"/>
      <c r="BR135" s="185"/>
      <c r="BS135" s="185"/>
      <c r="BT135" s="185"/>
      <c r="BU135" s="185"/>
      <c r="BV135" s="185"/>
      <c r="BW135" s="185"/>
      <c r="BX135" s="185"/>
      <c r="BY135" s="185"/>
      <c r="BZ135" s="185"/>
      <c r="CA135" s="185"/>
      <c r="CB135" s="185"/>
      <c r="CC135" s="185"/>
      <c r="CD135" s="185"/>
      <c r="CE135" s="185"/>
      <c r="CF135" s="185"/>
      <c r="CG135" s="185"/>
      <c r="CH135" s="185"/>
      <c r="CI135" s="185"/>
      <c r="CJ135" s="185"/>
      <c r="CK135" s="185"/>
      <c r="CL135" s="185"/>
      <c r="CM135" s="185"/>
      <c r="CN135" s="185"/>
      <c r="CO135" s="185"/>
      <c r="CP135" s="185"/>
      <c r="CQ135" s="185"/>
      <c r="CR135" s="185"/>
      <c r="CS135" s="185"/>
      <c r="CT135" s="185"/>
      <c r="CU135" s="185"/>
      <c r="CV135" s="185"/>
      <c r="CW135" s="185"/>
      <c r="CX135" s="185"/>
      <c r="CY135" s="185"/>
    </row>
    <row r="136" spans="1:103">
      <c r="A136" s="153"/>
      <c r="B136" s="153"/>
      <c r="C136" s="183"/>
      <c r="E136" s="8"/>
      <c r="F136" s="17"/>
      <c r="G136" s="17"/>
      <c r="H136" s="17"/>
      <c r="I136" s="17"/>
      <c r="J136" s="17"/>
      <c r="K136" s="17"/>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c r="AS136" s="185"/>
      <c r="AT136" s="185"/>
      <c r="AU136" s="185"/>
      <c r="AV136" s="185"/>
      <c r="AW136" s="185"/>
      <c r="AX136" s="185"/>
      <c r="AY136" s="185"/>
      <c r="AZ136" s="185"/>
      <c r="BA136" s="185"/>
      <c r="BB136" s="185"/>
      <c r="BC136" s="185"/>
      <c r="BD136" s="185"/>
      <c r="BE136" s="185"/>
      <c r="BF136" s="185"/>
      <c r="BG136" s="185"/>
      <c r="BH136" s="185"/>
      <c r="BI136" s="185"/>
      <c r="BJ136" s="185"/>
      <c r="BK136" s="185"/>
      <c r="BL136" s="185"/>
      <c r="BM136" s="185"/>
      <c r="BN136" s="185"/>
      <c r="BO136" s="185"/>
      <c r="BP136" s="185"/>
      <c r="BQ136" s="185"/>
      <c r="BR136" s="185"/>
      <c r="BS136" s="185"/>
      <c r="BT136" s="185"/>
      <c r="BU136" s="185"/>
      <c r="BV136" s="185"/>
      <c r="BW136" s="185"/>
      <c r="BX136" s="185"/>
      <c r="BY136" s="185"/>
      <c r="BZ136" s="185"/>
      <c r="CA136" s="185"/>
      <c r="CB136" s="185"/>
      <c r="CC136" s="185"/>
      <c r="CD136" s="185"/>
      <c r="CE136" s="185"/>
      <c r="CF136" s="185"/>
      <c r="CG136" s="185"/>
      <c r="CH136" s="185"/>
      <c r="CI136" s="185"/>
      <c r="CJ136" s="185"/>
      <c r="CK136" s="185"/>
      <c r="CL136" s="185"/>
      <c r="CM136" s="185"/>
      <c r="CN136" s="185"/>
      <c r="CO136" s="185"/>
      <c r="CP136" s="185"/>
      <c r="CQ136" s="185"/>
      <c r="CR136" s="185"/>
      <c r="CS136" s="185"/>
      <c r="CT136" s="185"/>
      <c r="CU136" s="185"/>
      <c r="CV136" s="185"/>
      <c r="CW136" s="185"/>
      <c r="CX136" s="185"/>
      <c r="CY136" s="185"/>
    </row>
    <row r="137" spans="1:103">
      <c r="A137" s="153"/>
      <c r="B137" s="153"/>
      <c r="C137" s="183"/>
      <c r="E137" s="8"/>
      <c r="F137" s="17"/>
      <c r="G137" s="17"/>
      <c r="H137" s="17"/>
      <c r="I137" s="17"/>
      <c r="J137" s="17"/>
      <c r="K137" s="17"/>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c r="AS137" s="185"/>
      <c r="AT137" s="185"/>
      <c r="AU137" s="185"/>
      <c r="AV137" s="185"/>
      <c r="AW137" s="185"/>
      <c r="AX137" s="185"/>
      <c r="AY137" s="185"/>
      <c r="AZ137" s="185"/>
      <c r="BA137" s="185"/>
      <c r="BB137" s="185"/>
      <c r="BC137" s="185"/>
      <c r="BD137" s="185"/>
      <c r="BE137" s="185"/>
      <c r="BF137" s="185"/>
      <c r="BG137" s="185"/>
      <c r="BH137" s="185"/>
      <c r="BI137" s="185"/>
      <c r="BJ137" s="185"/>
      <c r="BK137" s="185"/>
      <c r="BL137" s="185"/>
      <c r="BM137" s="185"/>
      <c r="BN137" s="185"/>
      <c r="BO137" s="185"/>
      <c r="BP137" s="185"/>
      <c r="BQ137" s="185"/>
      <c r="BR137" s="185"/>
      <c r="BS137" s="185"/>
      <c r="BT137" s="185"/>
      <c r="BU137" s="185"/>
      <c r="BV137" s="185"/>
      <c r="BW137" s="185"/>
      <c r="BX137" s="185"/>
      <c r="BY137" s="185"/>
      <c r="BZ137" s="185"/>
      <c r="CA137" s="185"/>
      <c r="CB137" s="185"/>
      <c r="CC137" s="185"/>
      <c r="CD137" s="185"/>
      <c r="CE137" s="185"/>
      <c r="CF137" s="185"/>
      <c r="CG137" s="185"/>
      <c r="CH137" s="185"/>
      <c r="CI137" s="185"/>
      <c r="CJ137" s="185"/>
      <c r="CK137" s="185"/>
      <c r="CL137" s="185"/>
      <c r="CM137" s="185"/>
      <c r="CN137" s="185"/>
      <c r="CO137" s="185"/>
      <c r="CP137" s="185"/>
      <c r="CQ137" s="185"/>
      <c r="CR137" s="185"/>
      <c r="CS137" s="185"/>
      <c r="CT137" s="185"/>
      <c r="CU137" s="185"/>
      <c r="CV137" s="185"/>
      <c r="CW137" s="185"/>
      <c r="CX137" s="185"/>
      <c r="CY137" s="185"/>
    </row>
    <row r="138" spans="1:103">
      <c r="A138" s="153"/>
      <c r="B138" s="153"/>
      <c r="C138" s="183"/>
      <c r="E138" s="8"/>
      <c r="F138" s="17"/>
      <c r="G138" s="17"/>
      <c r="H138" s="17"/>
      <c r="I138" s="17"/>
      <c r="J138" s="17"/>
      <c r="K138" s="17"/>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c r="AS138" s="185"/>
      <c r="AT138" s="185"/>
      <c r="AU138" s="185"/>
      <c r="AV138" s="185"/>
      <c r="AW138" s="185"/>
      <c r="AX138" s="185"/>
      <c r="AY138" s="185"/>
      <c r="AZ138" s="185"/>
      <c r="BA138" s="185"/>
      <c r="BB138" s="185"/>
      <c r="BC138" s="185"/>
      <c r="BD138" s="185"/>
      <c r="BE138" s="185"/>
      <c r="BF138" s="185"/>
      <c r="BG138" s="185"/>
      <c r="BH138" s="185"/>
      <c r="BI138" s="185"/>
      <c r="BJ138" s="185"/>
      <c r="BK138" s="185"/>
      <c r="BL138" s="185"/>
      <c r="BM138" s="185"/>
      <c r="BN138" s="185"/>
      <c r="BO138" s="185"/>
      <c r="BP138" s="185"/>
      <c r="BQ138" s="185"/>
      <c r="BR138" s="185"/>
      <c r="BS138" s="185"/>
      <c r="BT138" s="185"/>
      <c r="BU138" s="185"/>
      <c r="BV138" s="185"/>
      <c r="BW138" s="185"/>
      <c r="BX138" s="185"/>
      <c r="BY138" s="185"/>
      <c r="BZ138" s="185"/>
      <c r="CA138" s="185"/>
      <c r="CB138" s="185"/>
      <c r="CC138" s="185"/>
      <c r="CD138" s="185"/>
      <c r="CE138" s="185"/>
      <c r="CF138" s="185"/>
      <c r="CG138" s="185"/>
      <c r="CH138" s="185"/>
      <c r="CI138" s="185"/>
      <c r="CJ138" s="185"/>
      <c r="CK138" s="185"/>
      <c r="CL138" s="185"/>
      <c r="CM138" s="185"/>
      <c r="CN138" s="185"/>
      <c r="CO138" s="185"/>
      <c r="CP138" s="185"/>
      <c r="CQ138" s="185"/>
      <c r="CR138" s="185"/>
      <c r="CS138" s="185"/>
      <c r="CT138" s="185"/>
      <c r="CU138" s="185"/>
      <c r="CV138" s="185"/>
      <c r="CW138" s="185"/>
      <c r="CX138" s="185"/>
      <c r="CY138" s="185"/>
    </row>
    <row r="139" spans="1:103">
      <c r="A139" s="153"/>
      <c r="B139" s="153"/>
      <c r="C139" s="183"/>
      <c r="E139" s="8"/>
      <c r="F139" s="17"/>
      <c r="G139" s="17"/>
      <c r="H139" s="17"/>
      <c r="I139" s="17"/>
      <c r="J139" s="17"/>
      <c r="K139" s="17"/>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c r="AS139" s="185"/>
      <c r="AT139" s="185"/>
      <c r="AU139" s="185"/>
      <c r="AV139" s="185"/>
      <c r="AW139" s="185"/>
      <c r="AX139" s="185"/>
      <c r="AY139" s="185"/>
      <c r="AZ139" s="185"/>
      <c r="BA139" s="185"/>
      <c r="BB139" s="185"/>
      <c r="BC139" s="185"/>
      <c r="BD139" s="185"/>
      <c r="BE139" s="185"/>
      <c r="BF139" s="185"/>
      <c r="BG139" s="185"/>
      <c r="BH139" s="185"/>
      <c r="BI139" s="185"/>
      <c r="BJ139" s="185"/>
      <c r="BK139" s="185"/>
      <c r="BL139" s="185"/>
      <c r="BM139" s="185"/>
      <c r="BN139" s="185"/>
      <c r="BO139" s="185"/>
      <c r="BP139" s="185"/>
      <c r="BQ139" s="185"/>
      <c r="BR139" s="185"/>
      <c r="BS139" s="185"/>
      <c r="BT139" s="185"/>
      <c r="BU139" s="185"/>
      <c r="BV139" s="185"/>
      <c r="BW139" s="185"/>
      <c r="BX139" s="185"/>
      <c r="BY139" s="185"/>
      <c r="BZ139" s="185"/>
      <c r="CA139" s="185"/>
      <c r="CB139" s="185"/>
      <c r="CC139" s="185"/>
      <c r="CD139" s="185"/>
      <c r="CE139" s="185"/>
      <c r="CF139" s="185"/>
      <c r="CG139" s="185"/>
      <c r="CH139" s="185"/>
      <c r="CI139" s="185"/>
      <c r="CJ139" s="185"/>
      <c r="CK139" s="185"/>
      <c r="CL139" s="185"/>
      <c r="CM139" s="185"/>
      <c r="CN139" s="185"/>
      <c r="CO139" s="185"/>
      <c r="CP139" s="185"/>
      <c r="CQ139" s="185"/>
      <c r="CR139" s="185"/>
      <c r="CS139" s="185"/>
      <c r="CT139" s="185"/>
      <c r="CU139" s="185"/>
      <c r="CV139" s="185"/>
      <c r="CW139" s="185"/>
      <c r="CX139" s="185"/>
      <c r="CY139" s="185"/>
    </row>
    <row r="140" spans="1:103">
      <c r="A140" s="153"/>
      <c r="B140" s="153"/>
      <c r="C140" s="183"/>
      <c r="E140" s="8"/>
      <c r="F140" s="17"/>
      <c r="G140" s="17"/>
      <c r="H140" s="17"/>
      <c r="I140" s="17"/>
      <c r="J140" s="17"/>
      <c r="K140" s="17"/>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c r="AS140" s="185"/>
      <c r="AT140" s="185"/>
      <c r="AU140" s="185"/>
      <c r="AV140" s="185"/>
      <c r="AW140" s="185"/>
      <c r="AX140" s="185"/>
      <c r="AY140" s="185"/>
      <c r="AZ140" s="185"/>
      <c r="BA140" s="185"/>
      <c r="BB140" s="185"/>
      <c r="BC140" s="185"/>
      <c r="BD140" s="185"/>
      <c r="BE140" s="185"/>
      <c r="BF140" s="185"/>
      <c r="BG140" s="185"/>
      <c r="BH140" s="185"/>
      <c r="BI140" s="185"/>
      <c r="BJ140" s="185"/>
      <c r="BK140" s="185"/>
      <c r="BL140" s="185"/>
      <c r="BM140" s="185"/>
      <c r="BN140" s="185"/>
      <c r="BO140" s="185"/>
      <c r="BP140" s="185"/>
      <c r="BQ140" s="185"/>
      <c r="BR140" s="185"/>
      <c r="BS140" s="185"/>
      <c r="BT140" s="185"/>
      <c r="BU140" s="185"/>
      <c r="BV140" s="185"/>
      <c r="BW140" s="185"/>
      <c r="BX140" s="185"/>
      <c r="BY140" s="185"/>
      <c r="BZ140" s="185"/>
      <c r="CA140" s="185"/>
      <c r="CB140" s="185"/>
      <c r="CC140" s="185"/>
      <c r="CD140" s="185"/>
      <c r="CE140" s="185"/>
      <c r="CF140" s="185"/>
      <c r="CG140" s="185"/>
      <c r="CH140" s="185"/>
      <c r="CI140" s="185"/>
      <c r="CJ140" s="185"/>
      <c r="CK140" s="185"/>
      <c r="CL140" s="185"/>
      <c r="CM140" s="185"/>
      <c r="CN140" s="185"/>
      <c r="CO140" s="185"/>
      <c r="CP140" s="185"/>
      <c r="CQ140" s="185"/>
      <c r="CR140" s="185"/>
      <c r="CS140" s="185"/>
      <c r="CT140" s="185"/>
      <c r="CU140" s="185"/>
      <c r="CV140" s="185"/>
      <c r="CW140" s="185"/>
      <c r="CX140" s="185"/>
      <c r="CY140" s="185"/>
    </row>
    <row r="141" spans="1:103">
      <c r="A141" s="153"/>
      <c r="B141" s="153"/>
      <c r="C141" s="183"/>
      <c r="E141" s="8"/>
      <c r="F141" s="17"/>
      <c r="G141" s="17"/>
      <c r="H141" s="17"/>
      <c r="I141" s="839" t="e">
        <f>I140/I139</f>
        <v>#DIV/0!</v>
      </c>
      <c r="J141" s="839" t="e">
        <f>J140/J139</f>
        <v>#DIV/0!</v>
      </c>
      <c r="K141" s="17"/>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c r="AS141" s="185"/>
      <c r="AT141" s="185"/>
      <c r="AU141" s="185"/>
      <c r="AV141" s="185"/>
      <c r="AW141" s="185"/>
      <c r="AX141" s="185"/>
      <c r="AY141" s="185"/>
      <c r="AZ141" s="185"/>
      <c r="BA141" s="185"/>
      <c r="BB141" s="185"/>
      <c r="BC141" s="185"/>
      <c r="BD141" s="185"/>
      <c r="BE141" s="185"/>
      <c r="BF141" s="185"/>
      <c r="BG141" s="185"/>
      <c r="BH141" s="185"/>
      <c r="BI141" s="185"/>
      <c r="BJ141" s="185"/>
      <c r="BK141" s="185"/>
      <c r="BL141" s="185"/>
      <c r="BM141" s="185"/>
      <c r="BN141" s="185"/>
      <c r="BO141" s="185"/>
      <c r="BP141" s="185"/>
      <c r="BQ141" s="185"/>
      <c r="BR141" s="185"/>
      <c r="BS141" s="185"/>
      <c r="BT141" s="185"/>
      <c r="BU141" s="185"/>
      <c r="BV141" s="185"/>
      <c r="BW141" s="185"/>
      <c r="BX141" s="185"/>
      <c r="BY141" s="185"/>
      <c r="BZ141" s="185"/>
      <c r="CA141" s="185"/>
      <c r="CB141" s="185"/>
      <c r="CC141" s="185"/>
      <c r="CD141" s="185"/>
      <c r="CE141" s="185"/>
      <c r="CF141" s="185"/>
      <c r="CG141" s="185"/>
      <c r="CH141" s="185"/>
      <c r="CI141" s="185"/>
      <c r="CJ141" s="185"/>
      <c r="CK141" s="185"/>
      <c r="CL141" s="185"/>
      <c r="CM141" s="185"/>
      <c r="CN141" s="185"/>
      <c r="CO141" s="185"/>
      <c r="CP141" s="185"/>
      <c r="CQ141" s="185"/>
      <c r="CR141" s="185"/>
      <c r="CS141" s="185"/>
      <c r="CT141" s="185"/>
      <c r="CU141" s="185"/>
      <c r="CV141" s="185"/>
      <c r="CW141" s="185"/>
      <c r="CX141" s="185"/>
      <c r="CY141" s="185"/>
    </row>
    <row r="142" spans="1:103">
      <c r="A142" s="153"/>
      <c r="B142" s="153"/>
      <c r="C142" s="183"/>
      <c r="E142" s="8"/>
      <c r="F142" s="17"/>
      <c r="G142" s="17"/>
      <c r="H142" s="17"/>
      <c r="I142" s="839" t="e">
        <f>(I141^0.25)-1</f>
        <v>#DIV/0!</v>
      </c>
      <c r="J142" s="839" t="e">
        <f>(J141^0.25)-1</f>
        <v>#DIV/0!</v>
      </c>
      <c r="K142" s="17"/>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c r="AS142" s="185"/>
      <c r="AT142" s="185"/>
      <c r="AU142" s="185"/>
      <c r="AV142" s="185"/>
      <c r="AW142" s="185"/>
      <c r="AX142" s="185"/>
      <c r="AY142" s="185"/>
      <c r="AZ142" s="185"/>
      <c r="BA142" s="185"/>
      <c r="BB142" s="185"/>
      <c r="BC142" s="185"/>
      <c r="BD142" s="185"/>
      <c r="BE142" s="185"/>
      <c r="BF142" s="185"/>
      <c r="BG142" s="185"/>
      <c r="BH142" s="185"/>
      <c r="BI142" s="185"/>
      <c r="BJ142" s="185"/>
      <c r="BK142" s="185"/>
      <c r="BL142" s="185"/>
      <c r="BM142" s="185"/>
      <c r="BN142" s="185"/>
      <c r="BO142" s="185"/>
      <c r="BP142" s="185"/>
      <c r="BQ142" s="185"/>
      <c r="BR142" s="185"/>
      <c r="BS142" s="185"/>
      <c r="BT142" s="185"/>
      <c r="BU142" s="185"/>
      <c r="BV142" s="185"/>
      <c r="BW142" s="185"/>
      <c r="BX142" s="185"/>
      <c r="BY142" s="185"/>
      <c r="BZ142" s="185"/>
      <c r="CA142" s="185"/>
      <c r="CB142" s="185"/>
      <c r="CC142" s="185"/>
      <c r="CD142" s="185"/>
      <c r="CE142" s="185"/>
      <c r="CF142" s="185"/>
      <c r="CG142" s="185"/>
      <c r="CH142" s="185"/>
      <c r="CI142" s="185"/>
      <c r="CJ142" s="185"/>
      <c r="CK142" s="185"/>
      <c r="CL142" s="185"/>
      <c r="CM142" s="185"/>
      <c r="CN142" s="185"/>
      <c r="CO142" s="185"/>
      <c r="CP142" s="185"/>
      <c r="CQ142" s="185"/>
      <c r="CR142" s="185"/>
      <c r="CS142" s="185"/>
      <c r="CT142" s="185"/>
      <c r="CU142" s="185"/>
      <c r="CV142" s="185"/>
      <c r="CW142" s="185"/>
      <c r="CX142" s="185"/>
      <c r="CY142" s="185"/>
    </row>
    <row r="143" spans="1:103">
      <c r="A143" s="153"/>
      <c r="B143" s="153"/>
      <c r="C143" s="183"/>
      <c r="E143" s="8"/>
      <c r="F143" s="17"/>
      <c r="G143" s="17"/>
      <c r="H143" s="17"/>
      <c r="I143" s="17"/>
      <c r="J143" s="17"/>
      <c r="K143" s="17"/>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c r="AS143" s="185"/>
      <c r="AT143" s="185"/>
      <c r="AU143" s="185"/>
      <c r="AV143" s="185"/>
      <c r="AW143" s="185"/>
      <c r="AX143" s="185"/>
      <c r="AY143" s="185"/>
      <c r="AZ143" s="185"/>
      <c r="BA143" s="185"/>
      <c r="BB143" s="185"/>
      <c r="BC143" s="185"/>
      <c r="BD143" s="185"/>
      <c r="BE143" s="185"/>
      <c r="BF143" s="185"/>
      <c r="BG143" s="185"/>
      <c r="BH143" s="185"/>
      <c r="BI143" s="185"/>
      <c r="BJ143" s="185"/>
      <c r="BK143" s="185"/>
      <c r="BL143" s="185"/>
      <c r="BM143" s="185"/>
      <c r="BN143" s="185"/>
      <c r="BO143" s="185"/>
      <c r="BP143" s="185"/>
      <c r="BQ143" s="185"/>
      <c r="BR143" s="185"/>
      <c r="BS143" s="185"/>
      <c r="BT143" s="185"/>
      <c r="BU143" s="185"/>
      <c r="BV143" s="185"/>
      <c r="BW143" s="185"/>
      <c r="BX143" s="185"/>
      <c r="BY143" s="185"/>
      <c r="BZ143" s="185"/>
      <c r="CA143" s="185"/>
      <c r="CB143" s="185"/>
      <c r="CC143" s="185"/>
      <c r="CD143" s="185"/>
      <c r="CE143" s="185"/>
      <c r="CF143" s="185"/>
      <c r="CG143" s="185"/>
      <c r="CH143" s="185"/>
      <c r="CI143" s="185"/>
      <c r="CJ143" s="185"/>
      <c r="CK143" s="185"/>
      <c r="CL143" s="185"/>
      <c r="CM143" s="185"/>
      <c r="CN143" s="185"/>
      <c r="CO143" s="185"/>
      <c r="CP143" s="185"/>
      <c r="CQ143" s="185"/>
      <c r="CR143" s="185"/>
      <c r="CS143" s="185"/>
      <c r="CT143" s="185"/>
      <c r="CU143" s="185"/>
      <c r="CV143" s="185"/>
      <c r="CW143" s="185"/>
      <c r="CX143" s="185"/>
      <c r="CY143" s="185"/>
    </row>
    <row r="144" spans="1:103">
      <c r="A144" s="153"/>
      <c r="B144" s="153"/>
      <c r="C144" s="183"/>
      <c r="E144" s="8"/>
      <c r="F144" s="17"/>
      <c r="G144" s="17"/>
      <c r="H144" s="17"/>
      <c r="I144" s="17"/>
      <c r="J144" s="17"/>
      <c r="K144" s="17"/>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c r="AS144" s="185"/>
      <c r="AT144" s="185"/>
      <c r="AU144" s="185"/>
      <c r="AV144" s="185"/>
      <c r="AW144" s="185"/>
      <c r="AX144" s="185"/>
      <c r="AY144" s="185"/>
      <c r="AZ144" s="185"/>
      <c r="BA144" s="185"/>
      <c r="BB144" s="185"/>
      <c r="BC144" s="185"/>
      <c r="BD144" s="185"/>
      <c r="BE144" s="185"/>
      <c r="BF144" s="185"/>
      <c r="BG144" s="185"/>
      <c r="BH144" s="185"/>
      <c r="BI144" s="185"/>
      <c r="BJ144" s="185"/>
      <c r="BK144" s="185"/>
      <c r="BL144" s="185"/>
      <c r="BM144" s="185"/>
      <c r="BN144" s="185"/>
      <c r="BO144" s="185"/>
      <c r="BP144" s="185"/>
      <c r="BQ144" s="185"/>
      <c r="BR144" s="185"/>
      <c r="BS144" s="185"/>
      <c r="BT144" s="185"/>
      <c r="BU144" s="185"/>
      <c r="BV144" s="185"/>
      <c r="BW144" s="185"/>
      <c r="BX144" s="185"/>
      <c r="BY144" s="185"/>
      <c r="BZ144" s="185"/>
      <c r="CA144" s="185"/>
      <c r="CB144" s="185"/>
      <c r="CC144" s="185"/>
      <c r="CD144" s="185"/>
      <c r="CE144" s="185"/>
      <c r="CF144" s="185"/>
      <c r="CG144" s="185"/>
      <c r="CH144" s="185"/>
      <c r="CI144" s="185"/>
      <c r="CJ144" s="185"/>
      <c r="CK144" s="185"/>
      <c r="CL144" s="185"/>
      <c r="CM144" s="185"/>
      <c r="CN144" s="185"/>
      <c r="CO144" s="185"/>
      <c r="CP144" s="185"/>
      <c r="CQ144" s="185"/>
      <c r="CR144" s="185"/>
      <c r="CS144" s="185"/>
      <c r="CT144" s="185"/>
      <c r="CU144" s="185"/>
      <c r="CV144" s="185"/>
      <c r="CW144" s="185"/>
      <c r="CX144" s="185"/>
      <c r="CY144" s="185"/>
    </row>
    <row r="145" spans="1:103">
      <c r="A145" s="153"/>
      <c r="B145" s="153"/>
      <c r="C145" s="183"/>
      <c r="E145" s="8"/>
      <c r="F145" s="17"/>
      <c r="G145" s="17"/>
      <c r="H145" s="17"/>
      <c r="I145" s="17"/>
      <c r="J145" s="17"/>
      <c r="K145" s="17"/>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c r="AS145" s="185"/>
      <c r="AT145" s="185"/>
      <c r="AU145" s="185"/>
      <c r="AV145" s="185"/>
      <c r="AW145" s="185"/>
      <c r="AX145" s="185"/>
      <c r="AY145" s="185"/>
      <c r="AZ145" s="185"/>
      <c r="BA145" s="185"/>
      <c r="BB145" s="185"/>
      <c r="BC145" s="185"/>
      <c r="BD145" s="185"/>
      <c r="BE145" s="185"/>
      <c r="BF145" s="185"/>
      <c r="BG145" s="185"/>
      <c r="BH145" s="185"/>
      <c r="BI145" s="185"/>
      <c r="BJ145" s="185"/>
      <c r="BK145" s="185"/>
      <c r="BL145" s="185"/>
      <c r="BM145" s="185"/>
      <c r="BN145" s="185"/>
      <c r="BO145" s="185"/>
      <c r="BP145" s="185"/>
      <c r="BQ145" s="185"/>
      <c r="BR145" s="185"/>
      <c r="BS145" s="185"/>
      <c r="BT145" s="185"/>
      <c r="BU145" s="185"/>
      <c r="BV145" s="185"/>
      <c r="BW145" s="185"/>
      <c r="BX145" s="185"/>
      <c r="BY145" s="185"/>
      <c r="BZ145" s="185"/>
      <c r="CA145" s="185"/>
      <c r="CB145" s="185"/>
      <c r="CC145" s="185"/>
      <c r="CD145" s="185"/>
      <c r="CE145" s="185"/>
      <c r="CF145" s="185"/>
      <c r="CG145" s="185"/>
      <c r="CH145" s="185"/>
      <c r="CI145" s="185"/>
      <c r="CJ145" s="185"/>
      <c r="CK145" s="185"/>
      <c r="CL145" s="185"/>
      <c r="CM145" s="185"/>
      <c r="CN145" s="185"/>
      <c r="CO145" s="185"/>
      <c r="CP145" s="185"/>
      <c r="CQ145" s="185"/>
      <c r="CR145" s="185"/>
      <c r="CS145" s="185"/>
      <c r="CT145" s="185"/>
      <c r="CU145" s="185"/>
      <c r="CV145" s="185"/>
      <c r="CW145" s="185"/>
      <c r="CX145" s="185"/>
      <c r="CY145" s="185"/>
    </row>
    <row r="146" spans="1:103">
      <c r="A146" s="153"/>
      <c r="B146" s="153"/>
      <c r="C146" s="183"/>
      <c r="E146" s="8"/>
      <c r="F146" s="17"/>
      <c r="G146" s="17"/>
      <c r="H146" s="17"/>
      <c r="I146" s="17"/>
      <c r="J146" s="17"/>
      <c r="K146" s="17"/>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c r="AS146" s="185"/>
      <c r="AT146" s="185"/>
      <c r="AU146" s="185"/>
      <c r="AV146" s="185"/>
      <c r="AW146" s="185"/>
      <c r="AX146" s="185"/>
      <c r="AY146" s="185"/>
      <c r="AZ146" s="185"/>
      <c r="BA146" s="185"/>
      <c r="BB146" s="185"/>
      <c r="BC146" s="185"/>
      <c r="BD146" s="185"/>
      <c r="BE146" s="185"/>
      <c r="BF146" s="185"/>
      <c r="BG146" s="185"/>
      <c r="BH146" s="185"/>
      <c r="BI146" s="185"/>
      <c r="BJ146" s="185"/>
      <c r="BK146" s="185"/>
      <c r="BL146" s="185"/>
      <c r="BM146" s="185"/>
      <c r="BN146" s="185"/>
      <c r="BO146" s="185"/>
      <c r="BP146" s="185"/>
      <c r="BQ146" s="185"/>
      <c r="BR146" s="185"/>
      <c r="BS146" s="185"/>
      <c r="BT146" s="185"/>
      <c r="BU146" s="185"/>
      <c r="BV146" s="185"/>
      <c r="BW146" s="185"/>
      <c r="BX146" s="185"/>
      <c r="BY146" s="185"/>
      <c r="BZ146" s="185"/>
      <c r="CA146" s="185"/>
      <c r="CB146" s="185"/>
      <c r="CC146" s="185"/>
      <c r="CD146" s="185"/>
      <c r="CE146" s="185"/>
      <c r="CF146" s="185"/>
      <c r="CG146" s="185"/>
      <c r="CH146" s="185"/>
      <c r="CI146" s="185"/>
      <c r="CJ146" s="185"/>
      <c r="CK146" s="185"/>
      <c r="CL146" s="185"/>
      <c r="CM146" s="185"/>
      <c r="CN146" s="185"/>
      <c r="CO146" s="185"/>
      <c r="CP146" s="185"/>
      <c r="CQ146" s="185"/>
      <c r="CR146" s="185"/>
      <c r="CS146" s="185"/>
      <c r="CT146" s="185"/>
      <c r="CU146" s="185"/>
      <c r="CV146" s="185"/>
      <c r="CW146" s="185"/>
      <c r="CX146" s="185"/>
      <c r="CY146" s="185"/>
    </row>
    <row r="147" spans="1:103">
      <c r="A147" s="153"/>
      <c r="B147" s="153"/>
      <c r="C147" s="183"/>
      <c r="E147" s="8"/>
      <c r="F147" s="17"/>
      <c r="G147" s="17"/>
      <c r="H147" s="17"/>
      <c r="I147" s="17"/>
      <c r="J147" s="17"/>
      <c r="K147" s="17"/>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c r="AS147" s="185"/>
      <c r="AT147" s="185"/>
      <c r="AU147" s="185"/>
      <c r="AV147" s="185"/>
      <c r="AW147" s="185"/>
      <c r="AX147" s="185"/>
      <c r="AY147" s="185"/>
      <c r="AZ147" s="185"/>
      <c r="BA147" s="185"/>
      <c r="BB147" s="185"/>
      <c r="BC147" s="185"/>
      <c r="BD147" s="185"/>
      <c r="BE147" s="185"/>
      <c r="BF147" s="185"/>
      <c r="BG147" s="185"/>
      <c r="BH147" s="185"/>
      <c r="BI147" s="185"/>
      <c r="BJ147" s="185"/>
      <c r="BK147" s="185"/>
      <c r="BL147" s="185"/>
      <c r="BM147" s="185"/>
      <c r="BN147" s="185"/>
      <c r="BO147" s="185"/>
      <c r="BP147" s="185"/>
      <c r="BQ147" s="185"/>
      <c r="BR147" s="185"/>
      <c r="BS147" s="185"/>
      <c r="BT147" s="185"/>
      <c r="BU147" s="185"/>
      <c r="BV147" s="185"/>
      <c r="BW147" s="185"/>
      <c r="BX147" s="185"/>
      <c r="BY147" s="185"/>
      <c r="BZ147" s="185"/>
      <c r="CA147" s="185"/>
      <c r="CB147" s="185"/>
      <c r="CC147" s="185"/>
      <c r="CD147" s="185"/>
      <c r="CE147" s="185"/>
      <c r="CF147" s="185"/>
      <c r="CG147" s="185"/>
      <c r="CH147" s="185"/>
      <c r="CI147" s="185"/>
      <c r="CJ147" s="185"/>
      <c r="CK147" s="185"/>
      <c r="CL147" s="185"/>
      <c r="CM147" s="185"/>
      <c r="CN147" s="185"/>
      <c r="CO147" s="185"/>
      <c r="CP147" s="185"/>
      <c r="CQ147" s="185"/>
      <c r="CR147" s="185"/>
      <c r="CS147" s="185"/>
      <c r="CT147" s="185"/>
      <c r="CU147" s="185"/>
      <c r="CV147" s="185"/>
      <c r="CW147" s="185"/>
      <c r="CX147" s="185"/>
      <c r="CY147" s="185"/>
    </row>
    <row r="148" spans="1:103">
      <c r="A148" s="153"/>
      <c r="B148" s="153"/>
      <c r="C148" s="183"/>
      <c r="E148" s="8"/>
      <c r="F148" s="17"/>
      <c r="G148" s="17"/>
      <c r="H148" s="17"/>
      <c r="I148" s="17"/>
      <c r="J148" s="17"/>
      <c r="K148" s="17"/>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c r="AS148" s="185"/>
      <c r="AT148" s="185"/>
      <c r="AU148" s="185"/>
      <c r="AV148" s="185"/>
      <c r="AW148" s="185"/>
      <c r="AX148" s="185"/>
      <c r="AY148" s="185"/>
      <c r="AZ148" s="185"/>
      <c r="BA148" s="185"/>
      <c r="BB148" s="185"/>
      <c r="BC148" s="185"/>
      <c r="BD148" s="185"/>
      <c r="BE148" s="185"/>
      <c r="BF148" s="185"/>
      <c r="BG148" s="185"/>
      <c r="BH148" s="185"/>
      <c r="BI148" s="185"/>
      <c r="BJ148" s="185"/>
      <c r="BK148" s="185"/>
      <c r="BL148" s="185"/>
      <c r="BM148" s="185"/>
      <c r="BN148" s="185"/>
      <c r="BO148" s="185"/>
      <c r="BP148" s="185"/>
      <c r="BQ148" s="185"/>
      <c r="BR148" s="185"/>
      <c r="BS148" s="185"/>
      <c r="BT148" s="185"/>
      <c r="BU148" s="185"/>
      <c r="BV148" s="185"/>
      <c r="BW148" s="185"/>
      <c r="BX148" s="185"/>
      <c r="BY148" s="185"/>
      <c r="BZ148" s="185"/>
      <c r="CA148" s="185"/>
      <c r="CB148" s="185"/>
      <c r="CC148" s="185"/>
      <c r="CD148" s="185"/>
      <c r="CE148" s="185"/>
      <c r="CF148" s="185"/>
      <c r="CG148" s="185"/>
      <c r="CH148" s="185"/>
      <c r="CI148" s="185"/>
      <c r="CJ148" s="185"/>
      <c r="CK148" s="185"/>
      <c r="CL148" s="185"/>
      <c r="CM148" s="185"/>
      <c r="CN148" s="185"/>
      <c r="CO148" s="185"/>
      <c r="CP148" s="185"/>
      <c r="CQ148" s="185"/>
      <c r="CR148" s="185"/>
      <c r="CS148" s="185"/>
      <c r="CT148" s="185"/>
      <c r="CU148" s="185"/>
      <c r="CV148" s="185"/>
      <c r="CW148" s="185"/>
      <c r="CX148" s="185"/>
      <c r="CY148" s="185"/>
    </row>
    <row r="149" spans="1:103">
      <c r="A149" s="153"/>
      <c r="B149" s="153"/>
      <c r="C149" s="183"/>
      <c r="E149" s="8"/>
      <c r="F149" s="17"/>
      <c r="G149" s="17"/>
      <c r="H149" s="17"/>
      <c r="I149" s="17"/>
      <c r="J149" s="17"/>
      <c r="K149" s="17"/>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c r="AS149" s="185"/>
      <c r="AT149" s="185"/>
      <c r="AU149" s="185"/>
      <c r="AV149" s="185"/>
      <c r="AW149" s="185"/>
      <c r="AX149" s="185"/>
      <c r="AY149" s="185"/>
      <c r="AZ149" s="185"/>
      <c r="BA149" s="185"/>
      <c r="BB149" s="185"/>
      <c r="BC149" s="185"/>
      <c r="BD149" s="185"/>
      <c r="BE149" s="185"/>
      <c r="BF149" s="185"/>
      <c r="BG149" s="185"/>
      <c r="BH149" s="185"/>
      <c r="BI149" s="185"/>
      <c r="BJ149" s="185"/>
      <c r="BK149" s="185"/>
      <c r="BL149" s="185"/>
      <c r="BM149" s="185"/>
      <c r="BN149" s="185"/>
      <c r="BO149" s="185"/>
      <c r="BP149" s="185"/>
      <c r="BQ149" s="185"/>
      <c r="BR149" s="185"/>
      <c r="BS149" s="185"/>
      <c r="BT149" s="185"/>
      <c r="BU149" s="185"/>
      <c r="BV149" s="185"/>
      <c r="BW149" s="185"/>
      <c r="BX149" s="185"/>
      <c r="BY149" s="185"/>
      <c r="BZ149" s="185"/>
      <c r="CA149" s="185"/>
      <c r="CB149" s="185"/>
      <c r="CC149" s="185"/>
      <c r="CD149" s="185"/>
      <c r="CE149" s="185"/>
      <c r="CF149" s="185"/>
      <c r="CG149" s="185"/>
      <c r="CH149" s="185"/>
      <c r="CI149" s="185"/>
      <c r="CJ149" s="185"/>
      <c r="CK149" s="185"/>
      <c r="CL149" s="185"/>
      <c r="CM149" s="185"/>
      <c r="CN149" s="185"/>
      <c r="CO149" s="185"/>
      <c r="CP149" s="185"/>
      <c r="CQ149" s="185"/>
      <c r="CR149" s="185"/>
      <c r="CS149" s="185"/>
      <c r="CT149" s="185"/>
      <c r="CU149" s="185"/>
      <c r="CV149" s="185"/>
      <c r="CW149" s="185"/>
      <c r="CX149" s="185"/>
      <c r="CY149" s="185"/>
    </row>
    <row r="150" spans="1:103">
      <c r="A150" s="153"/>
      <c r="B150" s="153"/>
      <c r="C150" s="183"/>
      <c r="E150" s="8"/>
      <c r="F150" s="17"/>
      <c r="G150" s="17"/>
      <c r="H150" s="17"/>
      <c r="I150" s="17"/>
      <c r="J150" s="17"/>
      <c r="K150" s="17"/>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c r="AS150" s="185"/>
      <c r="AT150" s="185"/>
      <c r="AU150" s="185"/>
      <c r="AV150" s="185"/>
      <c r="AW150" s="185"/>
      <c r="AX150" s="185"/>
      <c r="AY150" s="185"/>
      <c r="AZ150" s="185"/>
      <c r="BA150" s="185"/>
      <c r="BB150" s="185"/>
      <c r="BC150" s="185"/>
      <c r="BD150" s="185"/>
      <c r="BE150" s="185"/>
      <c r="BF150" s="185"/>
      <c r="BG150" s="185"/>
      <c r="BH150" s="185"/>
      <c r="BI150" s="185"/>
      <c r="BJ150" s="185"/>
      <c r="BK150" s="185"/>
      <c r="BL150" s="185"/>
      <c r="BM150" s="185"/>
      <c r="BN150" s="185"/>
      <c r="BO150" s="185"/>
      <c r="BP150" s="185"/>
      <c r="BQ150" s="185"/>
      <c r="BR150" s="185"/>
      <c r="BS150" s="185"/>
      <c r="BT150" s="185"/>
      <c r="BU150" s="185"/>
      <c r="BV150" s="185"/>
      <c r="BW150" s="185"/>
      <c r="BX150" s="185"/>
      <c r="BY150" s="185"/>
      <c r="BZ150" s="185"/>
      <c r="CA150" s="185"/>
      <c r="CB150" s="185"/>
      <c r="CC150" s="185"/>
      <c r="CD150" s="185"/>
      <c r="CE150" s="185"/>
      <c r="CF150" s="185"/>
      <c r="CG150" s="185"/>
      <c r="CH150" s="185"/>
      <c r="CI150" s="185"/>
      <c r="CJ150" s="185"/>
      <c r="CK150" s="185"/>
      <c r="CL150" s="185"/>
      <c r="CM150" s="185"/>
      <c r="CN150" s="185"/>
      <c r="CO150" s="185"/>
      <c r="CP150" s="185"/>
      <c r="CQ150" s="185"/>
      <c r="CR150" s="185"/>
      <c r="CS150" s="185"/>
      <c r="CT150" s="185"/>
      <c r="CU150" s="185"/>
      <c r="CV150" s="185"/>
      <c r="CW150" s="185"/>
      <c r="CX150" s="185"/>
      <c r="CY150" s="185"/>
    </row>
    <row r="151" spans="1:103">
      <c r="A151" s="153"/>
      <c r="B151" s="153"/>
      <c r="C151" s="183"/>
      <c r="E151" s="8"/>
      <c r="F151" s="17"/>
      <c r="G151" s="17"/>
      <c r="H151" s="17"/>
      <c r="I151" s="17"/>
      <c r="J151" s="17"/>
      <c r="K151" s="17"/>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c r="AS151" s="185"/>
      <c r="AT151" s="185"/>
      <c r="AU151" s="185"/>
      <c r="AV151" s="185"/>
      <c r="AW151" s="185"/>
      <c r="AX151" s="185"/>
      <c r="AY151" s="185"/>
      <c r="AZ151" s="185"/>
      <c r="BA151" s="185"/>
      <c r="BB151" s="185"/>
      <c r="BC151" s="185"/>
      <c r="BD151" s="185"/>
      <c r="BE151" s="185"/>
      <c r="BF151" s="185"/>
      <c r="BG151" s="185"/>
      <c r="BH151" s="185"/>
      <c r="BI151" s="185"/>
      <c r="BJ151" s="185"/>
      <c r="BK151" s="185"/>
      <c r="BL151" s="185"/>
      <c r="BM151" s="185"/>
      <c r="BN151" s="185"/>
      <c r="BO151" s="185"/>
      <c r="BP151" s="185"/>
      <c r="BQ151" s="185"/>
      <c r="BR151" s="185"/>
      <c r="BS151" s="185"/>
      <c r="BT151" s="185"/>
      <c r="BU151" s="185"/>
      <c r="BV151" s="185"/>
      <c r="BW151" s="185"/>
      <c r="BX151" s="185"/>
      <c r="BY151" s="185"/>
      <c r="BZ151" s="185"/>
      <c r="CA151" s="185"/>
      <c r="CB151" s="185"/>
      <c r="CC151" s="185"/>
      <c r="CD151" s="185"/>
      <c r="CE151" s="185"/>
      <c r="CF151" s="185"/>
      <c r="CG151" s="185"/>
      <c r="CH151" s="185"/>
      <c r="CI151" s="185"/>
      <c r="CJ151" s="185"/>
      <c r="CK151" s="185"/>
      <c r="CL151" s="185"/>
      <c r="CM151" s="185"/>
      <c r="CN151" s="185"/>
      <c r="CO151" s="185"/>
      <c r="CP151" s="185"/>
      <c r="CQ151" s="185"/>
      <c r="CR151" s="185"/>
      <c r="CS151" s="185"/>
      <c r="CT151" s="185"/>
      <c r="CU151" s="185"/>
      <c r="CV151" s="185"/>
      <c r="CW151" s="185"/>
      <c r="CX151" s="185"/>
      <c r="CY151" s="185"/>
    </row>
    <row r="152" spans="1:103">
      <c r="A152" s="153"/>
      <c r="B152" s="153"/>
      <c r="C152" s="183"/>
      <c r="E152" s="8"/>
      <c r="F152" s="17"/>
      <c r="G152" s="17"/>
      <c r="H152" s="17"/>
      <c r="I152" s="17"/>
      <c r="J152" s="17"/>
      <c r="K152" s="17"/>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c r="AS152" s="185"/>
      <c r="AT152" s="185"/>
      <c r="AU152" s="185"/>
      <c r="AV152" s="185"/>
      <c r="AW152" s="185"/>
      <c r="AX152" s="185"/>
      <c r="AY152" s="185"/>
      <c r="AZ152" s="185"/>
      <c r="BA152" s="185"/>
      <c r="BB152" s="185"/>
      <c r="BC152" s="185"/>
      <c r="BD152" s="185"/>
      <c r="BE152" s="185"/>
      <c r="BF152" s="185"/>
      <c r="BG152" s="185"/>
      <c r="BH152" s="185"/>
      <c r="BI152" s="185"/>
      <c r="BJ152" s="185"/>
      <c r="BK152" s="185"/>
      <c r="BL152" s="185"/>
      <c r="BM152" s="185"/>
      <c r="BN152" s="185"/>
      <c r="BO152" s="185"/>
      <c r="BP152" s="185"/>
      <c r="BQ152" s="185"/>
      <c r="BR152" s="185"/>
      <c r="BS152" s="185"/>
      <c r="BT152" s="185"/>
      <c r="BU152" s="185"/>
      <c r="BV152" s="185"/>
      <c r="BW152" s="185"/>
      <c r="BX152" s="185"/>
      <c r="BY152" s="185"/>
      <c r="BZ152" s="185"/>
      <c r="CA152" s="185"/>
      <c r="CB152" s="185"/>
      <c r="CC152" s="185"/>
      <c r="CD152" s="185"/>
      <c r="CE152" s="185"/>
      <c r="CF152" s="185"/>
      <c r="CG152" s="185"/>
      <c r="CH152" s="185"/>
      <c r="CI152" s="185"/>
      <c r="CJ152" s="185"/>
      <c r="CK152" s="185"/>
      <c r="CL152" s="185"/>
      <c r="CM152" s="185"/>
      <c r="CN152" s="185"/>
      <c r="CO152" s="185"/>
      <c r="CP152" s="185"/>
      <c r="CQ152" s="185"/>
      <c r="CR152" s="185"/>
      <c r="CS152" s="185"/>
      <c r="CT152" s="185"/>
      <c r="CU152" s="185"/>
      <c r="CV152" s="185"/>
      <c r="CW152" s="185"/>
      <c r="CX152" s="185"/>
      <c r="CY152" s="185"/>
    </row>
    <row r="153" spans="1:103">
      <c r="A153" s="153"/>
      <c r="B153" s="153"/>
      <c r="C153" s="183"/>
      <c r="E153" s="8"/>
      <c r="F153" s="17"/>
      <c r="G153" s="17"/>
      <c r="H153" s="17"/>
      <c r="I153" s="17"/>
      <c r="J153" s="17"/>
      <c r="K153" s="17"/>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c r="AS153" s="185"/>
      <c r="AT153" s="185"/>
      <c r="AU153" s="185"/>
      <c r="AV153" s="185"/>
      <c r="AW153" s="185"/>
      <c r="AX153" s="185"/>
      <c r="AY153" s="185"/>
      <c r="AZ153" s="185"/>
      <c r="BA153" s="185"/>
      <c r="BB153" s="185"/>
      <c r="BC153" s="185"/>
      <c r="BD153" s="185"/>
      <c r="BE153" s="185"/>
      <c r="BF153" s="185"/>
      <c r="BG153" s="185"/>
      <c r="BH153" s="185"/>
      <c r="BI153" s="185"/>
      <c r="BJ153" s="185"/>
      <c r="BK153" s="185"/>
      <c r="BL153" s="185"/>
      <c r="BM153" s="185"/>
      <c r="BN153" s="185"/>
      <c r="BO153" s="185"/>
      <c r="BP153" s="185"/>
      <c r="BQ153" s="185"/>
      <c r="BR153" s="185"/>
      <c r="BS153" s="185"/>
      <c r="BT153" s="185"/>
      <c r="BU153" s="185"/>
      <c r="BV153" s="185"/>
      <c r="BW153" s="185"/>
      <c r="BX153" s="185"/>
      <c r="BY153" s="185"/>
      <c r="BZ153" s="185"/>
      <c r="CA153" s="185"/>
      <c r="CB153" s="185"/>
      <c r="CC153" s="185"/>
      <c r="CD153" s="185"/>
      <c r="CE153" s="185"/>
      <c r="CF153" s="185"/>
      <c r="CG153" s="185"/>
      <c r="CH153" s="185"/>
      <c r="CI153" s="185"/>
      <c r="CJ153" s="185"/>
      <c r="CK153" s="185"/>
      <c r="CL153" s="185"/>
      <c r="CM153" s="185"/>
      <c r="CN153" s="185"/>
      <c r="CO153" s="185"/>
      <c r="CP153" s="185"/>
      <c r="CQ153" s="185"/>
      <c r="CR153" s="185"/>
      <c r="CS153" s="185"/>
      <c r="CT153" s="185"/>
      <c r="CU153" s="185"/>
      <c r="CV153" s="185"/>
      <c r="CW153" s="185"/>
      <c r="CX153" s="185"/>
      <c r="CY153" s="185"/>
    </row>
    <row r="154" spans="1:103">
      <c r="A154" s="153"/>
      <c r="B154" s="153"/>
      <c r="C154" s="183"/>
      <c r="E154" s="8"/>
      <c r="F154" s="17"/>
      <c r="G154" s="17"/>
      <c r="H154" s="17"/>
      <c r="I154" s="17"/>
      <c r="J154" s="17"/>
      <c r="K154" s="17"/>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c r="AS154" s="185"/>
      <c r="AT154" s="185"/>
      <c r="AU154" s="185"/>
      <c r="AV154" s="185"/>
      <c r="AW154" s="185"/>
      <c r="AX154" s="185"/>
      <c r="AY154" s="185"/>
      <c r="AZ154" s="185"/>
      <c r="BA154" s="185"/>
      <c r="BB154" s="185"/>
      <c r="BC154" s="185"/>
      <c r="BD154" s="185"/>
      <c r="BE154" s="185"/>
      <c r="BF154" s="185"/>
      <c r="BG154" s="185"/>
      <c r="BH154" s="185"/>
      <c r="BI154" s="185"/>
      <c r="BJ154" s="185"/>
      <c r="BK154" s="185"/>
      <c r="BL154" s="185"/>
      <c r="BM154" s="185"/>
      <c r="BN154" s="185"/>
      <c r="BO154" s="185"/>
      <c r="BP154" s="185"/>
      <c r="BQ154" s="185"/>
      <c r="BR154" s="185"/>
      <c r="BS154" s="185"/>
      <c r="BT154" s="185"/>
      <c r="BU154" s="185"/>
      <c r="BV154" s="185"/>
      <c r="BW154" s="185"/>
      <c r="BX154" s="185"/>
      <c r="BY154" s="185"/>
      <c r="BZ154" s="185"/>
      <c r="CA154" s="185"/>
      <c r="CB154" s="185"/>
      <c r="CC154" s="185"/>
      <c r="CD154" s="185"/>
      <c r="CE154" s="185"/>
      <c r="CF154" s="185"/>
      <c r="CG154" s="185"/>
      <c r="CH154" s="185"/>
      <c r="CI154" s="185"/>
      <c r="CJ154" s="185"/>
      <c r="CK154" s="185"/>
      <c r="CL154" s="185"/>
      <c r="CM154" s="185"/>
      <c r="CN154" s="185"/>
      <c r="CO154" s="185"/>
      <c r="CP154" s="185"/>
      <c r="CQ154" s="185"/>
      <c r="CR154" s="185"/>
      <c r="CS154" s="185"/>
      <c r="CT154" s="185"/>
      <c r="CU154" s="185"/>
      <c r="CV154" s="185"/>
      <c r="CW154" s="185"/>
      <c r="CX154" s="185"/>
      <c r="CY154" s="185"/>
    </row>
    <row r="155" spans="1:103">
      <c r="A155" s="153"/>
      <c r="B155" s="153"/>
      <c r="C155" s="183"/>
      <c r="E155" s="8"/>
      <c r="F155" s="17"/>
      <c r="G155" s="17"/>
      <c r="H155" s="17"/>
      <c r="I155" s="17"/>
      <c r="J155" s="17"/>
      <c r="K155" s="17"/>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c r="AS155" s="185"/>
      <c r="AT155" s="185"/>
      <c r="AU155" s="185"/>
      <c r="AV155" s="185"/>
      <c r="AW155" s="185"/>
      <c r="AX155" s="185"/>
      <c r="AY155" s="185"/>
      <c r="AZ155" s="185"/>
      <c r="BA155" s="185"/>
      <c r="BB155" s="185"/>
      <c r="BC155" s="185"/>
      <c r="BD155" s="185"/>
      <c r="BE155" s="185"/>
      <c r="BF155" s="185"/>
      <c r="BG155" s="185"/>
      <c r="BH155" s="185"/>
      <c r="BI155" s="185"/>
      <c r="BJ155" s="185"/>
      <c r="BK155" s="185"/>
      <c r="BL155" s="185"/>
      <c r="BM155" s="185"/>
      <c r="BN155" s="185"/>
      <c r="BO155" s="185"/>
      <c r="BP155" s="185"/>
      <c r="BQ155" s="185"/>
      <c r="BR155" s="185"/>
      <c r="BS155" s="185"/>
      <c r="BT155" s="185"/>
      <c r="BU155" s="185"/>
      <c r="BV155" s="185"/>
      <c r="BW155" s="185"/>
      <c r="BX155" s="185"/>
      <c r="BY155" s="185"/>
      <c r="BZ155" s="185"/>
      <c r="CA155" s="185"/>
      <c r="CB155" s="185"/>
      <c r="CC155" s="185"/>
      <c r="CD155" s="185"/>
      <c r="CE155" s="185"/>
      <c r="CF155" s="185"/>
      <c r="CG155" s="185"/>
      <c r="CH155" s="185"/>
      <c r="CI155" s="185"/>
      <c r="CJ155" s="185"/>
      <c r="CK155" s="185"/>
      <c r="CL155" s="185"/>
      <c r="CM155" s="185"/>
      <c r="CN155" s="185"/>
      <c r="CO155" s="185"/>
      <c r="CP155" s="185"/>
      <c r="CQ155" s="185"/>
      <c r="CR155" s="185"/>
      <c r="CS155" s="185"/>
      <c r="CT155" s="185"/>
      <c r="CU155" s="185"/>
      <c r="CV155" s="185"/>
      <c r="CW155" s="185"/>
      <c r="CX155" s="185"/>
      <c r="CY155" s="185"/>
    </row>
    <row r="156" spans="1:103">
      <c r="A156" s="153"/>
      <c r="B156" s="153"/>
      <c r="C156" s="183"/>
      <c r="E156" s="8"/>
      <c r="F156" s="17"/>
      <c r="G156" s="17"/>
      <c r="H156" s="17"/>
      <c r="I156" s="17"/>
      <c r="J156" s="17"/>
      <c r="K156" s="17"/>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c r="AS156" s="185"/>
      <c r="AT156" s="185"/>
      <c r="AU156" s="185"/>
      <c r="AV156" s="185"/>
      <c r="AW156" s="185"/>
      <c r="AX156" s="185"/>
      <c r="AY156" s="185"/>
      <c r="AZ156" s="185"/>
      <c r="BA156" s="185"/>
      <c r="BB156" s="185"/>
      <c r="BC156" s="185"/>
      <c r="BD156" s="185"/>
      <c r="BE156" s="185"/>
      <c r="BF156" s="185"/>
      <c r="BG156" s="185"/>
      <c r="BH156" s="185"/>
      <c r="BI156" s="185"/>
      <c r="BJ156" s="185"/>
      <c r="BK156" s="185"/>
      <c r="BL156" s="185"/>
      <c r="BM156" s="185"/>
      <c r="BN156" s="185"/>
      <c r="BO156" s="185"/>
      <c r="BP156" s="185"/>
      <c r="BQ156" s="185"/>
      <c r="BR156" s="185"/>
      <c r="BS156" s="185"/>
      <c r="BT156" s="185"/>
      <c r="BU156" s="185"/>
      <c r="BV156" s="185"/>
      <c r="BW156" s="185"/>
      <c r="BX156" s="185"/>
      <c r="BY156" s="185"/>
      <c r="BZ156" s="185"/>
      <c r="CA156" s="185"/>
      <c r="CB156" s="185"/>
      <c r="CC156" s="185"/>
      <c r="CD156" s="185"/>
      <c r="CE156" s="185"/>
      <c r="CF156" s="185"/>
      <c r="CG156" s="185"/>
      <c r="CH156" s="185"/>
      <c r="CI156" s="185"/>
      <c r="CJ156" s="185"/>
      <c r="CK156" s="185"/>
      <c r="CL156" s="185"/>
      <c r="CM156" s="185"/>
      <c r="CN156" s="185"/>
      <c r="CO156" s="185"/>
      <c r="CP156" s="185"/>
      <c r="CQ156" s="185"/>
      <c r="CR156" s="185"/>
      <c r="CS156" s="185"/>
      <c r="CT156" s="185"/>
      <c r="CU156" s="185"/>
      <c r="CV156" s="185"/>
      <c r="CW156" s="185"/>
      <c r="CX156" s="185"/>
      <c r="CY156" s="185"/>
    </row>
    <row r="157" spans="1:103">
      <c r="A157" s="153"/>
      <c r="B157" s="153"/>
      <c r="C157" s="183"/>
      <c r="E157" s="8"/>
      <c r="F157" s="17"/>
      <c r="G157" s="17"/>
      <c r="H157" s="17"/>
      <c r="I157" s="17"/>
      <c r="J157" s="17"/>
      <c r="K157" s="17"/>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c r="AS157" s="185"/>
      <c r="AT157" s="185"/>
      <c r="AU157" s="185"/>
      <c r="AV157" s="185"/>
      <c r="AW157" s="185"/>
      <c r="AX157" s="185"/>
      <c r="AY157" s="185"/>
      <c r="AZ157" s="185"/>
      <c r="BA157" s="185"/>
      <c r="BB157" s="185"/>
      <c r="BC157" s="185"/>
      <c r="BD157" s="185"/>
      <c r="BE157" s="185"/>
      <c r="BF157" s="185"/>
      <c r="BG157" s="185"/>
      <c r="BH157" s="185"/>
      <c r="BI157" s="185"/>
      <c r="BJ157" s="185"/>
      <c r="BK157" s="185"/>
      <c r="BL157" s="185"/>
      <c r="BM157" s="185"/>
      <c r="BN157" s="185"/>
      <c r="BO157" s="185"/>
      <c r="BP157" s="185"/>
      <c r="BQ157" s="185"/>
      <c r="BR157" s="185"/>
      <c r="BS157" s="185"/>
      <c r="BT157" s="185"/>
      <c r="BU157" s="185"/>
      <c r="BV157" s="185"/>
      <c r="BW157" s="185"/>
      <c r="BX157" s="185"/>
      <c r="BY157" s="185"/>
      <c r="BZ157" s="185"/>
      <c r="CA157" s="185"/>
      <c r="CB157" s="185"/>
      <c r="CC157" s="185"/>
      <c r="CD157" s="185"/>
      <c r="CE157" s="185"/>
      <c r="CF157" s="185"/>
      <c r="CG157" s="185"/>
      <c r="CH157" s="185"/>
      <c r="CI157" s="185"/>
      <c r="CJ157" s="185"/>
      <c r="CK157" s="185"/>
      <c r="CL157" s="185"/>
      <c r="CM157" s="185"/>
      <c r="CN157" s="185"/>
      <c r="CO157" s="185"/>
      <c r="CP157" s="185"/>
      <c r="CQ157" s="185"/>
      <c r="CR157" s="185"/>
      <c r="CS157" s="185"/>
      <c r="CT157" s="185"/>
      <c r="CU157" s="185"/>
      <c r="CV157" s="185"/>
      <c r="CW157" s="185"/>
      <c r="CX157" s="185"/>
      <c r="CY157" s="185"/>
    </row>
    <row r="158" spans="1:103">
      <c r="A158" s="153"/>
      <c r="B158" s="153"/>
      <c r="C158" s="183"/>
      <c r="E158" s="8"/>
      <c r="F158" s="17"/>
      <c r="G158" s="17"/>
      <c r="H158" s="17"/>
      <c r="I158" s="17"/>
      <c r="J158" s="17"/>
      <c r="K158" s="17"/>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c r="AS158" s="185"/>
      <c r="AT158" s="185"/>
      <c r="AU158" s="185"/>
      <c r="AV158" s="185"/>
      <c r="AW158" s="185"/>
      <c r="AX158" s="185"/>
      <c r="AY158" s="185"/>
      <c r="AZ158" s="185"/>
      <c r="BA158" s="185"/>
      <c r="BB158" s="185"/>
      <c r="BC158" s="185"/>
      <c r="BD158" s="185"/>
      <c r="BE158" s="185"/>
      <c r="BF158" s="185"/>
      <c r="BG158" s="185"/>
      <c r="BH158" s="185"/>
      <c r="BI158" s="185"/>
      <c r="BJ158" s="185"/>
      <c r="BK158" s="185"/>
      <c r="BL158" s="185"/>
      <c r="BM158" s="185"/>
      <c r="BN158" s="185"/>
      <c r="BO158" s="185"/>
      <c r="BP158" s="185"/>
      <c r="BQ158" s="185"/>
      <c r="BR158" s="185"/>
      <c r="BS158" s="185"/>
      <c r="BT158" s="185"/>
      <c r="BU158" s="185"/>
      <c r="BV158" s="185"/>
      <c r="BW158" s="185"/>
      <c r="BX158" s="185"/>
      <c r="BY158" s="185"/>
      <c r="BZ158" s="185"/>
      <c r="CA158" s="185"/>
      <c r="CB158" s="185"/>
      <c r="CC158" s="185"/>
      <c r="CD158" s="185"/>
      <c r="CE158" s="185"/>
      <c r="CF158" s="185"/>
      <c r="CG158" s="185"/>
      <c r="CH158" s="185"/>
      <c r="CI158" s="185"/>
      <c r="CJ158" s="185"/>
      <c r="CK158" s="185"/>
      <c r="CL158" s="185"/>
      <c r="CM158" s="185"/>
      <c r="CN158" s="185"/>
      <c r="CO158" s="185"/>
      <c r="CP158" s="185"/>
      <c r="CQ158" s="185"/>
      <c r="CR158" s="185"/>
      <c r="CS158" s="185"/>
      <c r="CT158" s="185"/>
      <c r="CU158" s="185"/>
      <c r="CV158" s="185"/>
      <c r="CW158" s="185"/>
      <c r="CX158" s="185"/>
      <c r="CY158" s="185"/>
    </row>
    <row r="159" spans="1:103">
      <c r="A159" s="153"/>
      <c r="B159" s="153"/>
      <c r="C159" s="183"/>
      <c r="E159" s="8"/>
      <c r="F159" s="17"/>
      <c r="G159" s="17"/>
      <c r="H159" s="17"/>
      <c r="I159" s="17"/>
      <c r="J159" s="17"/>
      <c r="K159" s="17"/>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c r="AS159" s="185"/>
      <c r="AT159" s="185"/>
      <c r="AU159" s="185"/>
      <c r="AV159" s="185"/>
      <c r="AW159" s="185"/>
      <c r="AX159" s="185"/>
      <c r="AY159" s="185"/>
      <c r="AZ159" s="185"/>
      <c r="BA159" s="185"/>
      <c r="BB159" s="185"/>
      <c r="BC159" s="185"/>
      <c r="BD159" s="185"/>
      <c r="BE159" s="185"/>
      <c r="BF159" s="185"/>
      <c r="BG159" s="185"/>
      <c r="BH159" s="185"/>
      <c r="BI159" s="185"/>
      <c r="BJ159" s="185"/>
      <c r="BK159" s="185"/>
      <c r="BL159" s="185"/>
      <c r="BM159" s="185"/>
      <c r="BN159" s="185"/>
      <c r="BO159" s="185"/>
      <c r="BP159" s="185"/>
      <c r="BQ159" s="185"/>
      <c r="BR159" s="185"/>
      <c r="BS159" s="185"/>
      <c r="BT159" s="185"/>
      <c r="BU159" s="185"/>
      <c r="BV159" s="185"/>
      <c r="BW159" s="185"/>
      <c r="BX159" s="185"/>
      <c r="BY159" s="185"/>
      <c r="BZ159" s="185"/>
      <c r="CA159" s="185"/>
      <c r="CB159" s="185"/>
      <c r="CC159" s="185"/>
      <c r="CD159" s="185"/>
      <c r="CE159" s="185"/>
      <c r="CF159" s="185"/>
      <c r="CG159" s="185"/>
      <c r="CH159" s="185"/>
      <c r="CI159" s="185"/>
      <c r="CJ159" s="185"/>
      <c r="CK159" s="185"/>
      <c r="CL159" s="185"/>
      <c r="CM159" s="185"/>
      <c r="CN159" s="185"/>
      <c r="CO159" s="185"/>
      <c r="CP159" s="185"/>
      <c r="CQ159" s="185"/>
      <c r="CR159" s="185"/>
      <c r="CS159" s="185"/>
      <c r="CT159" s="185"/>
      <c r="CU159" s="185"/>
      <c r="CV159" s="185"/>
      <c r="CW159" s="185"/>
      <c r="CX159" s="185"/>
      <c r="CY159" s="185"/>
    </row>
    <row r="160" spans="1:103">
      <c r="A160" s="153"/>
      <c r="B160" s="153"/>
      <c r="C160" s="183"/>
      <c r="E160" s="8"/>
      <c r="F160" s="17"/>
      <c r="G160" s="17"/>
      <c r="H160" s="17"/>
      <c r="I160" s="17"/>
      <c r="J160" s="17"/>
      <c r="K160" s="17"/>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c r="AS160" s="185"/>
      <c r="AT160" s="185"/>
      <c r="AU160" s="185"/>
      <c r="AV160" s="185"/>
      <c r="AW160" s="185"/>
      <c r="AX160" s="185"/>
      <c r="AY160" s="185"/>
      <c r="AZ160" s="185"/>
      <c r="BA160" s="185"/>
      <c r="BB160" s="185"/>
      <c r="BC160" s="185"/>
      <c r="BD160" s="185"/>
      <c r="BE160" s="185"/>
      <c r="BF160" s="185"/>
      <c r="BG160" s="185"/>
      <c r="BH160" s="185"/>
      <c r="BI160" s="185"/>
      <c r="BJ160" s="185"/>
      <c r="BK160" s="185"/>
      <c r="BL160" s="185"/>
      <c r="BM160" s="185"/>
      <c r="BN160" s="185"/>
      <c r="BO160" s="185"/>
      <c r="BP160" s="185"/>
      <c r="BQ160" s="185"/>
      <c r="BR160" s="185"/>
      <c r="BS160" s="185"/>
      <c r="BT160" s="185"/>
      <c r="BU160" s="185"/>
      <c r="BV160" s="185"/>
      <c r="BW160" s="185"/>
      <c r="BX160" s="185"/>
      <c r="BY160" s="185"/>
      <c r="BZ160" s="185"/>
      <c r="CA160" s="185"/>
      <c r="CB160" s="185"/>
      <c r="CC160" s="185"/>
      <c r="CD160" s="185"/>
      <c r="CE160" s="185"/>
      <c r="CF160" s="185"/>
      <c r="CG160" s="185"/>
      <c r="CH160" s="185"/>
      <c r="CI160" s="185"/>
      <c r="CJ160" s="185"/>
      <c r="CK160" s="185"/>
      <c r="CL160" s="185"/>
      <c r="CM160" s="185"/>
      <c r="CN160" s="185"/>
      <c r="CO160" s="185"/>
      <c r="CP160" s="185"/>
      <c r="CQ160" s="185"/>
      <c r="CR160" s="185"/>
      <c r="CS160" s="185"/>
      <c r="CT160" s="185"/>
      <c r="CU160" s="185"/>
      <c r="CV160" s="185"/>
      <c r="CW160" s="185"/>
      <c r="CX160" s="185"/>
      <c r="CY160" s="185"/>
    </row>
    <row r="161" spans="1:103">
      <c r="A161" s="153"/>
      <c r="B161" s="153"/>
      <c r="C161" s="183"/>
      <c r="E161" s="8"/>
      <c r="F161" s="17"/>
      <c r="G161" s="17"/>
      <c r="H161" s="17"/>
      <c r="I161" s="17"/>
      <c r="J161" s="17"/>
      <c r="K161" s="17"/>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c r="AS161" s="185"/>
      <c r="AT161" s="185"/>
      <c r="AU161" s="185"/>
      <c r="AV161" s="185"/>
      <c r="AW161" s="185"/>
      <c r="AX161" s="185"/>
      <c r="AY161" s="185"/>
      <c r="AZ161" s="185"/>
      <c r="BA161" s="185"/>
      <c r="BB161" s="185"/>
      <c r="BC161" s="185"/>
      <c r="BD161" s="185"/>
      <c r="BE161" s="185"/>
      <c r="BF161" s="185"/>
      <c r="BG161" s="185"/>
      <c r="BH161" s="185"/>
      <c r="BI161" s="185"/>
      <c r="BJ161" s="185"/>
      <c r="BK161" s="185"/>
      <c r="BL161" s="185"/>
      <c r="BM161" s="185"/>
      <c r="BN161" s="185"/>
      <c r="BO161" s="185"/>
      <c r="BP161" s="185"/>
      <c r="BQ161" s="185"/>
      <c r="BR161" s="185"/>
      <c r="BS161" s="185"/>
      <c r="BT161" s="185"/>
      <c r="BU161" s="185"/>
      <c r="BV161" s="185"/>
      <c r="BW161" s="185"/>
      <c r="BX161" s="185"/>
      <c r="BY161" s="185"/>
      <c r="BZ161" s="185"/>
      <c r="CA161" s="185"/>
      <c r="CB161" s="185"/>
      <c r="CC161" s="185"/>
      <c r="CD161" s="185"/>
      <c r="CE161" s="185"/>
      <c r="CF161" s="185"/>
      <c r="CG161" s="185"/>
      <c r="CH161" s="185"/>
      <c r="CI161" s="185"/>
      <c r="CJ161" s="185"/>
      <c r="CK161" s="185"/>
      <c r="CL161" s="185"/>
      <c r="CM161" s="185"/>
      <c r="CN161" s="185"/>
      <c r="CO161" s="185"/>
      <c r="CP161" s="185"/>
      <c r="CQ161" s="185"/>
      <c r="CR161" s="185"/>
      <c r="CS161" s="185"/>
      <c r="CT161" s="185"/>
      <c r="CU161" s="185"/>
      <c r="CV161" s="185"/>
      <c r="CW161" s="185"/>
      <c r="CX161" s="185"/>
      <c r="CY161" s="185"/>
    </row>
    <row r="162" spans="1:103">
      <c r="A162" s="153"/>
      <c r="B162" s="153"/>
      <c r="C162" s="183"/>
      <c r="E162" s="8"/>
      <c r="F162" s="17"/>
      <c r="G162" s="17"/>
      <c r="H162" s="17"/>
      <c r="I162" s="17"/>
      <c r="J162" s="17"/>
      <c r="K162" s="17"/>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c r="AS162" s="185"/>
      <c r="AT162" s="185"/>
      <c r="AU162" s="185"/>
      <c r="AV162" s="185"/>
      <c r="AW162" s="185"/>
      <c r="AX162" s="185"/>
      <c r="AY162" s="185"/>
      <c r="AZ162" s="185"/>
      <c r="BA162" s="185"/>
      <c r="BB162" s="185"/>
      <c r="BC162" s="185"/>
      <c r="BD162" s="185"/>
      <c r="BE162" s="185"/>
      <c r="BF162" s="185"/>
      <c r="BG162" s="185"/>
      <c r="BH162" s="185"/>
      <c r="BI162" s="185"/>
      <c r="BJ162" s="185"/>
      <c r="BK162" s="185"/>
      <c r="BL162" s="185"/>
      <c r="BM162" s="185"/>
      <c r="BN162" s="185"/>
      <c r="BO162" s="185"/>
      <c r="BP162" s="185"/>
      <c r="BQ162" s="185"/>
      <c r="BR162" s="185"/>
      <c r="BS162" s="185"/>
      <c r="BT162" s="185"/>
      <c r="BU162" s="185"/>
      <c r="BV162" s="185"/>
      <c r="BW162" s="185"/>
      <c r="BX162" s="185"/>
      <c r="BY162" s="185"/>
      <c r="BZ162" s="185"/>
      <c r="CA162" s="185"/>
      <c r="CB162" s="185"/>
      <c r="CC162" s="185"/>
      <c r="CD162" s="185"/>
      <c r="CE162" s="185"/>
      <c r="CF162" s="185"/>
      <c r="CG162" s="185"/>
      <c r="CH162" s="185"/>
      <c r="CI162" s="185"/>
      <c r="CJ162" s="185"/>
      <c r="CK162" s="185"/>
      <c r="CL162" s="185"/>
      <c r="CM162" s="185"/>
      <c r="CN162" s="185"/>
      <c r="CO162" s="185"/>
      <c r="CP162" s="185"/>
      <c r="CQ162" s="185"/>
      <c r="CR162" s="185"/>
      <c r="CS162" s="185"/>
      <c r="CT162" s="185"/>
      <c r="CU162" s="185"/>
      <c r="CV162" s="185"/>
      <c r="CW162" s="185"/>
      <c r="CX162" s="185"/>
      <c r="CY162" s="185"/>
    </row>
    <row r="163" spans="1:103">
      <c r="A163" s="153"/>
      <c r="B163" s="153"/>
      <c r="C163" s="183"/>
      <c r="E163" s="8"/>
      <c r="F163" s="17"/>
      <c r="G163" s="17"/>
      <c r="H163" s="17"/>
      <c r="I163" s="17"/>
      <c r="J163" s="17"/>
      <c r="K163" s="17"/>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c r="AS163" s="185"/>
      <c r="AT163" s="185"/>
      <c r="AU163" s="185"/>
      <c r="AV163" s="185"/>
      <c r="AW163" s="185"/>
      <c r="AX163" s="185"/>
      <c r="AY163" s="185"/>
      <c r="AZ163" s="185"/>
      <c r="BA163" s="185"/>
      <c r="BB163" s="185"/>
      <c r="BC163" s="185"/>
      <c r="BD163" s="185"/>
      <c r="BE163" s="185"/>
      <c r="BF163" s="185"/>
      <c r="BG163" s="185"/>
      <c r="BH163" s="185"/>
      <c r="BI163" s="185"/>
      <c r="BJ163" s="185"/>
      <c r="BK163" s="185"/>
      <c r="BL163" s="185"/>
      <c r="BM163" s="185"/>
      <c r="BN163" s="185"/>
      <c r="BO163" s="185"/>
      <c r="BP163" s="185"/>
      <c r="BQ163" s="185"/>
      <c r="BR163" s="185"/>
      <c r="BS163" s="185"/>
      <c r="BT163" s="185"/>
      <c r="BU163" s="185"/>
      <c r="BV163" s="185"/>
      <c r="BW163" s="185"/>
      <c r="BX163" s="185"/>
      <c r="BY163" s="185"/>
      <c r="BZ163" s="185"/>
      <c r="CA163" s="185"/>
      <c r="CB163" s="185"/>
      <c r="CC163" s="185"/>
      <c r="CD163" s="185"/>
      <c r="CE163" s="185"/>
      <c r="CF163" s="185"/>
      <c r="CG163" s="185"/>
      <c r="CH163" s="185"/>
      <c r="CI163" s="185"/>
      <c r="CJ163" s="185"/>
      <c r="CK163" s="185"/>
      <c r="CL163" s="185"/>
      <c r="CM163" s="185"/>
      <c r="CN163" s="185"/>
      <c r="CO163" s="185"/>
      <c r="CP163" s="185"/>
      <c r="CQ163" s="185"/>
      <c r="CR163" s="185"/>
      <c r="CS163" s="185"/>
      <c r="CT163" s="185"/>
      <c r="CU163" s="185"/>
      <c r="CV163" s="185"/>
      <c r="CW163" s="185"/>
      <c r="CX163" s="185"/>
      <c r="CY163" s="185"/>
    </row>
    <row r="164" spans="1:103">
      <c r="A164" s="153"/>
      <c r="B164" s="153"/>
      <c r="C164" s="183"/>
      <c r="E164" s="8"/>
      <c r="F164" s="17"/>
      <c r="G164" s="17"/>
      <c r="H164" s="17"/>
      <c r="I164" s="17"/>
      <c r="J164" s="17"/>
      <c r="K164" s="17"/>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c r="AS164" s="185"/>
      <c r="AT164" s="185"/>
      <c r="AU164" s="185"/>
      <c r="AV164" s="185"/>
      <c r="AW164" s="185"/>
      <c r="AX164" s="185"/>
      <c r="AY164" s="185"/>
      <c r="AZ164" s="185"/>
      <c r="BA164" s="185"/>
      <c r="BB164" s="185"/>
      <c r="BC164" s="185"/>
      <c r="BD164" s="185"/>
      <c r="BE164" s="185"/>
      <c r="BF164" s="185"/>
      <c r="BG164" s="185"/>
      <c r="BH164" s="185"/>
      <c r="BI164" s="185"/>
      <c r="BJ164" s="185"/>
      <c r="BK164" s="185"/>
      <c r="BL164" s="185"/>
      <c r="BM164" s="185"/>
      <c r="BN164" s="185"/>
      <c r="BO164" s="185"/>
      <c r="BP164" s="185"/>
      <c r="BQ164" s="185"/>
      <c r="BR164" s="185"/>
      <c r="BS164" s="185"/>
      <c r="BT164" s="185"/>
      <c r="BU164" s="185"/>
      <c r="BV164" s="185"/>
      <c r="BW164" s="185"/>
      <c r="BX164" s="185"/>
      <c r="BY164" s="185"/>
      <c r="BZ164" s="185"/>
      <c r="CA164" s="185"/>
      <c r="CB164" s="185"/>
      <c r="CC164" s="185"/>
      <c r="CD164" s="185"/>
      <c r="CE164" s="185"/>
      <c r="CF164" s="185"/>
      <c r="CG164" s="185"/>
      <c r="CH164" s="185"/>
      <c r="CI164" s="185"/>
      <c r="CJ164" s="185"/>
      <c r="CK164" s="185"/>
      <c r="CL164" s="185"/>
      <c r="CM164" s="185"/>
      <c r="CN164" s="185"/>
      <c r="CO164" s="185"/>
      <c r="CP164" s="185"/>
      <c r="CQ164" s="185"/>
      <c r="CR164" s="185"/>
      <c r="CS164" s="185"/>
      <c r="CT164" s="185"/>
      <c r="CU164" s="185"/>
      <c r="CV164" s="185"/>
      <c r="CW164" s="185"/>
      <c r="CX164" s="185"/>
      <c r="CY164" s="185"/>
    </row>
    <row r="165" spans="1:103">
      <c r="A165" s="153"/>
      <c r="B165" s="153"/>
      <c r="C165" s="183"/>
      <c r="E165" s="8"/>
      <c r="F165" s="17"/>
      <c r="G165" s="17"/>
      <c r="H165" s="17"/>
      <c r="I165" s="17"/>
      <c r="J165" s="17"/>
      <c r="K165" s="17"/>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c r="AS165" s="185"/>
      <c r="AT165" s="185"/>
      <c r="AU165" s="185"/>
      <c r="AV165" s="185"/>
      <c r="AW165" s="185"/>
      <c r="AX165" s="185"/>
      <c r="AY165" s="185"/>
      <c r="AZ165" s="185"/>
      <c r="BA165" s="185"/>
      <c r="BB165" s="185"/>
      <c r="BC165" s="185"/>
      <c r="BD165" s="185"/>
      <c r="BE165" s="185"/>
      <c r="BF165" s="185"/>
      <c r="BG165" s="185"/>
      <c r="BH165" s="185"/>
      <c r="BI165" s="185"/>
      <c r="BJ165" s="185"/>
      <c r="BK165" s="185"/>
      <c r="BL165" s="185"/>
      <c r="BM165" s="185"/>
      <c r="BN165" s="185"/>
      <c r="BO165" s="185"/>
      <c r="BP165" s="185"/>
      <c r="BQ165" s="185"/>
      <c r="BR165" s="185"/>
      <c r="BS165" s="185"/>
      <c r="BT165" s="185"/>
      <c r="BU165" s="185"/>
      <c r="BV165" s="185"/>
      <c r="BW165" s="185"/>
      <c r="BX165" s="185"/>
      <c r="BY165" s="185"/>
      <c r="BZ165" s="185"/>
      <c r="CA165" s="185"/>
      <c r="CB165" s="185"/>
      <c r="CC165" s="185"/>
      <c r="CD165" s="185"/>
      <c r="CE165" s="185"/>
      <c r="CF165" s="185"/>
      <c r="CG165" s="185"/>
      <c r="CH165" s="185"/>
      <c r="CI165" s="185"/>
      <c r="CJ165" s="185"/>
      <c r="CK165" s="185"/>
      <c r="CL165" s="185"/>
      <c r="CM165" s="185"/>
      <c r="CN165" s="185"/>
      <c r="CO165" s="185"/>
      <c r="CP165" s="185"/>
      <c r="CQ165" s="185"/>
      <c r="CR165" s="185"/>
      <c r="CS165" s="185"/>
      <c r="CT165" s="185"/>
      <c r="CU165" s="185"/>
      <c r="CV165" s="185"/>
      <c r="CW165" s="185"/>
      <c r="CX165" s="185"/>
      <c r="CY165" s="185"/>
    </row>
    <row r="166" spans="1:103">
      <c r="A166" s="153"/>
      <c r="B166" s="153"/>
      <c r="C166" s="183"/>
      <c r="E166" s="8"/>
      <c r="F166" s="17"/>
      <c r="G166" s="17"/>
      <c r="H166" s="17"/>
      <c r="I166" s="17"/>
      <c r="J166" s="17"/>
      <c r="K166" s="17"/>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c r="AS166" s="185"/>
      <c r="AT166" s="185"/>
      <c r="AU166" s="185"/>
      <c r="AV166" s="185"/>
      <c r="AW166" s="185"/>
      <c r="AX166" s="185"/>
      <c r="AY166" s="185"/>
      <c r="AZ166" s="185"/>
      <c r="BA166" s="185"/>
      <c r="BB166" s="185"/>
      <c r="BC166" s="185"/>
      <c r="BD166" s="185"/>
      <c r="BE166" s="185"/>
      <c r="BF166" s="185"/>
      <c r="BG166" s="185"/>
      <c r="BH166" s="185"/>
      <c r="BI166" s="185"/>
      <c r="BJ166" s="185"/>
      <c r="BK166" s="185"/>
      <c r="BL166" s="185"/>
      <c r="BM166" s="185"/>
      <c r="BN166" s="185"/>
      <c r="BO166" s="185"/>
      <c r="BP166" s="185"/>
      <c r="BQ166" s="185"/>
      <c r="BR166" s="185"/>
      <c r="BS166" s="185"/>
      <c r="BT166" s="185"/>
      <c r="BU166" s="185"/>
      <c r="BV166" s="185"/>
      <c r="BW166" s="185"/>
      <c r="BX166" s="185"/>
      <c r="BY166" s="185"/>
      <c r="BZ166" s="185"/>
      <c r="CA166" s="185"/>
      <c r="CB166" s="185"/>
      <c r="CC166" s="185"/>
      <c r="CD166" s="185"/>
      <c r="CE166" s="185"/>
      <c r="CF166" s="185"/>
      <c r="CG166" s="185"/>
      <c r="CH166" s="185"/>
      <c r="CI166" s="185"/>
      <c r="CJ166" s="185"/>
      <c r="CK166" s="185"/>
      <c r="CL166" s="185"/>
      <c r="CM166" s="185"/>
      <c r="CN166" s="185"/>
      <c r="CO166" s="185"/>
      <c r="CP166" s="185"/>
      <c r="CQ166" s="185"/>
      <c r="CR166" s="185"/>
      <c r="CS166" s="185"/>
      <c r="CT166" s="185"/>
      <c r="CU166" s="185"/>
      <c r="CV166" s="185"/>
      <c r="CW166" s="185"/>
      <c r="CX166" s="185"/>
      <c r="CY166" s="185"/>
    </row>
    <row r="167" spans="1:103">
      <c r="A167" s="153"/>
      <c r="B167" s="153"/>
      <c r="C167" s="183"/>
      <c r="E167" s="8"/>
      <c r="F167" s="17"/>
      <c r="G167" s="17"/>
      <c r="H167" s="17"/>
      <c r="I167" s="17"/>
      <c r="J167" s="17"/>
      <c r="K167" s="17"/>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c r="AS167" s="185"/>
      <c r="AT167" s="185"/>
      <c r="AU167" s="185"/>
      <c r="AV167" s="185"/>
      <c r="AW167" s="185"/>
      <c r="AX167" s="185"/>
      <c r="AY167" s="185"/>
      <c r="AZ167" s="185"/>
      <c r="BA167" s="185"/>
      <c r="BB167" s="185"/>
      <c r="BC167" s="185"/>
      <c r="BD167" s="185"/>
      <c r="BE167" s="185"/>
      <c r="BF167" s="185"/>
      <c r="BG167" s="185"/>
      <c r="BH167" s="185"/>
      <c r="BI167" s="185"/>
      <c r="BJ167" s="185"/>
      <c r="BK167" s="185"/>
      <c r="BL167" s="185"/>
      <c r="BM167" s="185"/>
      <c r="BN167" s="185"/>
      <c r="BO167" s="185"/>
      <c r="BP167" s="185"/>
      <c r="BQ167" s="185"/>
      <c r="BR167" s="185"/>
      <c r="BS167" s="185"/>
      <c r="BT167" s="185"/>
      <c r="BU167" s="185"/>
      <c r="BV167" s="185"/>
      <c r="BW167" s="185"/>
      <c r="BX167" s="185"/>
      <c r="BY167" s="185"/>
      <c r="BZ167" s="185"/>
      <c r="CA167" s="185"/>
      <c r="CB167" s="185"/>
      <c r="CC167" s="185"/>
      <c r="CD167" s="185"/>
      <c r="CE167" s="185"/>
      <c r="CF167" s="185"/>
      <c r="CG167" s="185"/>
      <c r="CH167" s="185"/>
      <c r="CI167" s="185"/>
      <c r="CJ167" s="185"/>
      <c r="CK167" s="185"/>
      <c r="CL167" s="185"/>
      <c r="CM167" s="185"/>
      <c r="CN167" s="185"/>
      <c r="CO167" s="185"/>
      <c r="CP167" s="185"/>
      <c r="CQ167" s="185"/>
      <c r="CR167" s="185"/>
      <c r="CS167" s="185"/>
      <c r="CT167" s="185"/>
      <c r="CU167" s="185"/>
      <c r="CV167" s="185"/>
      <c r="CW167" s="185"/>
      <c r="CX167" s="185"/>
      <c r="CY167" s="185"/>
    </row>
    <row r="168" spans="1:103">
      <c r="A168" s="153"/>
      <c r="B168" s="153"/>
      <c r="C168" s="183"/>
      <c r="E168" s="8"/>
      <c r="F168" s="17"/>
      <c r="G168" s="17"/>
      <c r="H168" s="17"/>
      <c r="I168" s="17"/>
      <c r="J168" s="17"/>
      <c r="K168" s="17"/>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5"/>
      <c r="BS168" s="185"/>
      <c r="BT168" s="185"/>
      <c r="BU168" s="185"/>
      <c r="BV168" s="185"/>
      <c r="BW168" s="185"/>
      <c r="BX168" s="185"/>
      <c r="BY168" s="185"/>
      <c r="BZ168" s="185"/>
      <c r="CA168" s="185"/>
      <c r="CB168" s="185"/>
      <c r="CC168" s="185"/>
      <c r="CD168" s="185"/>
      <c r="CE168" s="185"/>
      <c r="CF168" s="185"/>
      <c r="CG168" s="185"/>
      <c r="CH168" s="185"/>
      <c r="CI168" s="185"/>
      <c r="CJ168" s="185"/>
      <c r="CK168" s="185"/>
      <c r="CL168" s="185"/>
      <c r="CM168" s="185"/>
      <c r="CN168" s="185"/>
      <c r="CO168" s="185"/>
      <c r="CP168" s="185"/>
      <c r="CQ168" s="185"/>
      <c r="CR168" s="185"/>
      <c r="CS168" s="185"/>
      <c r="CT168" s="185"/>
      <c r="CU168" s="185"/>
      <c r="CV168" s="185"/>
      <c r="CW168" s="185"/>
      <c r="CX168" s="185"/>
      <c r="CY168" s="185"/>
    </row>
    <row r="169" spans="1:103">
      <c r="A169" s="153"/>
      <c r="B169" s="153"/>
      <c r="C169" s="183"/>
      <c r="E169" s="8"/>
      <c r="F169" s="17"/>
      <c r="G169" s="17"/>
      <c r="H169" s="17"/>
      <c r="I169" s="17"/>
      <c r="J169" s="17"/>
      <c r="K169" s="17"/>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c r="AS169" s="185"/>
      <c r="AT169" s="185"/>
      <c r="AU169" s="185"/>
      <c r="AV169" s="185"/>
      <c r="AW169" s="185"/>
      <c r="AX169" s="185"/>
      <c r="AY169" s="185"/>
      <c r="AZ169" s="185"/>
      <c r="BA169" s="185"/>
      <c r="BB169" s="185"/>
      <c r="BC169" s="185"/>
      <c r="BD169" s="185"/>
      <c r="BE169" s="185"/>
      <c r="BF169" s="185"/>
      <c r="BG169" s="185"/>
      <c r="BH169" s="185"/>
      <c r="BI169" s="185"/>
      <c r="BJ169" s="185"/>
      <c r="BK169" s="185"/>
      <c r="BL169" s="185"/>
      <c r="BM169" s="185"/>
      <c r="BN169" s="185"/>
      <c r="BO169" s="185"/>
      <c r="BP169" s="185"/>
      <c r="BQ169" s="185"/>
      <c r="BR169" s="185"/>
      <c r="BS169" s="185"/>
      <c r="BT169" s="185"/>
      <c r="BU169" s="185"/>
      <c r="BV169" s="185"/>
      <c r="BW169" s="185"/>
      <c r="BX169" s="185"/>
      <c r="BY169" s="185"/>
      <c r="BZ169" s="185"/>
      <c r="CA169" s="185"/>
      <c r="CB169" s="185"/>
      <c r="CC169" s="185"/>
      <c r="CD169" s="185"/>
      <c r="CE169" s="185"/>
      <c r="CF169" s="185"/>
      <c r="CG169" s="185"/>
      <c r="CH169" s="185"/>
      <c r="CI169" s="185"/>
      <c r="CJ169" s="185"/>
      <c r="CK169" s="185"/>
      <c r="CL169" s="185"/>
      <c r="CM169" s="185"/>
      <c r="CN169" s="185"/>
      <c r="CO169" s="185"/>
      <c r="CP169" s="185"/>
      <c r="CQ169" s="185"/>
      <c r="CR169" s="185"/>
      <c r="CS169" s="185"/>
      <c r="CT169" s="185"/>
      <c r="CU169" s="185"/>
      <c r="CV169" s="185"/>
      <c r="CW169" s="185"/>
      <c r="CX169" s="185"/>
      <c r="CY169" s="185"/>
    </row>
    <row r="170" spans="1:103">
      <c r="A170" s="153"/>
      <c r="B170" s="153"/>
      <c r="C170" s="183"/>
      <c r="E170" s="8"/>
      <c r="F170" s="17"/>
      <c r="G170" s="17"/>
      <c r="H170" s="17"/>
      <c r="I170" s="17"/>
      <c r="J170" s="17"/>
      <c r="K170" s="17"/>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c r="AS170" s="185"/>
      <c r="AT170" s="185"/>
      <c r="AU170" s="185"/>
      <c r="AV170" s="185"/>
      <c r="AW170" s="185"/>
      <c r="AX170" s="185"/>
      <c r="AY170" s="185"/>
      <c r="AZ170" s="185"/>
      <c r="BA170" s="185"/>
      <c r="BB170" s="185"/>
      <c r="BC170" s="185"/>
      <c r="BD170" s="185"/>
      <c r="BE170" s="185"/>
      <c r="BF170" s="185"/>
      <c r="BG170" s="185"/>
      <c r="BH170" s="185"/>
      <c r="BI170" s="185"/>
      <c r="BJ170" s="185"/>
      <c r="BK170" s="185"/>
      <c r="BL170" s="185"/>
      <c r="BM170" s="185"/>
      <c r="BN170" s="185"/>
      <c r="BO170" s="185"/>
      <c r="BP170" s="185"/>
      <c r="BQ170" s="185"/>
      <c r="BR170" s="185"/>
      <c r="BS170" s="185"/>
      <c r="BT170" s="185"/>
      <c r="BU170" s="185"/>
      <c r="BV170" s="185"/>
      <c r="BW170" s="185"/>
      <c r="BX170" s="185"/>
      <c r="BY170" s="185"/>
      <c r="BZ170" s="185"/>
      <c r="CA170" s="185"/>
      <c r="CB170" s="185"/>
      <c r="CC170" s="185"/>
      <c r="CD170" s="185"/>
      <c r="CE170" s="185"/>
      <c r="CF170" s="185"/>
      <c r="CG170" s="185"/>
      <c r="CH170" s="185"/>
      <c r="CI170" s="185"/>
      <c r="CJ170" s="185"/>
      <c r="CK170" s="185"/>
      <c r="CL170" s="185"/>
      <c r="CM170" s="185"/>
      <c r="CN170" s="185"/>
      <c r="CO170" s="185"/>
      <c r="CP170" s="185"/>
      <c r="CQ170" s="185"/>
      <c r="CR170" s="185"/>
      <c r="CS170" s="185"/>
      <c r="CT170" s="185"/>
      <c r="CU170" s="185"/>
      <c r="CV170" s="185"/>
      <c r="CW170" s="185"/>
      <c r="CX170" s="185"/>
      <c r="CY170" s="185"/>
    </row>
    <row r="171" spans="1:103">
      <c r="A171" s="153"/>
      <c r="B171" s="153"/>
      <c r="C171" s="183"/>
      <c r="E171" s="8"/>
      <c r="F171" s="17"/>
      <c r="G171" s="17"/>
      <c r="H171" s="17"/>
      <c r="I171" s="17"/>
      <c r="J171" s="17"/>
      <c r="K171" s="17"/>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c r="AS171" s="185"/>
      <c r="AT171" s="185"/>
      <c r="AU171" s="185"/>
      <c r="AV171" s="185"/>
      <c r="AW171" s="185"/>
      <c r="AX171" s="185"/>
      <c r="AY171" s="185"/>
      <c r="AZ171" s="185"/>
      <c r="BA171" s="185"/>
      <c r="BB171" s="185"/>
      <c r="BC171" s="185"/>
      <c r="BD171" s="185"/>
      <c r="BE171" s="185"/>
      <c r="BF171" s="185"/>
      <c r="BG171" s="185"/>
      <c r="BH171" s="185"/>
      <c r="BI171" s="185"/>
      <c r="BJ171" s="185"/>
      <c r="BK171" s="185"/>
      <c r="BL171" s="185"/>
      <c r="BM171" s="185"/>
      <c r="BN171" s="185"/>
      <c r="BO171" s="185"/>
      <c r="BP171" s="185"/>
      <c r="BQ171" s="185"/>
      <c r="BR171" s="185"/>
      <c r="BS171" s="185"/>
      <c r="BT171" s="185"/>
      <c r="BU171" s="185"/>
      <c r="BV171" s="185"/>
      <c r="BW171" s="185"/>
      <c r="BX171" s="185"/>
      <c r="BY171" s="185"/>
      <c r="BZ171" s="185"/>
      <c r="CA171" s="185"/>
      <c r="CB171" s="185"/>
      <c r="CC171" s="185"/>
      <c r="CD171" s="185"/>
      <c r="CE171" s="185"/>
      <c r="CF171" s="185"/>
      <c r="CG171" s="185"/>
      <c r="CH171" s="185"/>
      <c r="CI171" s="185"/>
      <c r="CJ171" s="185"/>
      <c r="CK171" s="185"/>
      <c r="CL171" s="185"/>
      <c r="CM171" s="185"/>
      <c r="CN171" s="185"/>
      <c r="CO171" s="185"/>
      <c r="CP171" s="185"/>
      <c r="CQ171" s="185"/>
      <c r="CR171" s="185"/>
      <c r="CS171" s="185"/>
      <c r="CT171" s="185"/>
      <c r="CU171" s="185"/>
      <c r="CV171" s="185"/>
      <c r="CW171" s="185"/>
      <c r="CX171" s="185"/>
      <c r="CY171" s="185"/>
    </row>
    <row r="172" spans="1:103">
      <c r="A172" s="153"/>
      <c r="B172" s="153"/>
      <c r="C172" s="183"/>
      <c r="E172" s="8"/>
      <c r="F172" s="17"/>
      <c r="G172" s="17"/>
      <c r="H172" s="17"/>
      <c r="I172" s="17"/>
      <c r="J172" s="17"/>
      <c r="K172" s="17"/>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c r="AS172" s="185"/>
      <c r="AT172" s="185"/>
      <c r="AU172" s="185"/>
      <c r="AV172" s="185"/>
      <c r="AW172" s="185"/>
      <c r="AX172" s="185"/>
      <c r="AY172" s="185"/>
      <c r="AZ172" s="185"/>
      <c r="BA172" s="185"/>
      <c r="BB172" s="185"/>
      <c r="BC172" s="185"/>
      <c r="BD172" s="185"/>
      <c r="BE172" s="185"/>
      <c r="BF172" s="185"/>
      <c r="BG172" s="185"/>
      <c r="BH172" s="185"/>
      <c r="BI172" s="185"/>
      <c r="BJ172" s="185"/>
      <c r="BK172" s="185"/>
      <c r="BL172" s="185"/>
      <c r="BM172" s="185"/>
      <c r="BN172" s="185"/>
      <c r="BO172" s="185"/>
      <c r="BP172" s="185"/>
      <c r="BQ172" s="185"/>
      <c r="BR172" s="185"/>
      <c r="BS172" s="185"/>
      <c r="BT172" s="185"/>
      <c r="BU172" s="185"/>
      <c r="BV172" s="185"/>
      <c r="BW172" s="185"/>
      <c r="BX172" s="185"/>
      <c r="BY172" s="185"/>
      <c r="BZ172" s="185"/>
      <c r="CA172" s="185"/>
      <c r="CB172" s="185"/>
      <c r="CC172" s="185"/>
      <c r="CD172" s="185"/>
      <c r="CE172" s="185"/>
      <c r="CF172" s="185"/>
      <c r="CG172" s="185"/>
      <c r="CH172" s="185"/>
      <c r="CI172" s="185"/>
      <c r="CJ172" s="185"/>
      <c r="CK172" s="185"/>
      <c r="CL172" s="185"/>
      <c r="CM172" s="185"/>
      <c r="CN172" s="185"/>
      <c r="CO172" s="185"/>
      <c r="CP172" s="185"/>
      <c r="CQ172" s="185"/>
      <c r="CR172" s="185"/>
      <c r="CS172" s="185"/>
      <c r="CT172" s="185"/>
      <c r="CU172" s="185"/>
      <c r="CV172" s="185"/>
      <c r="CW172" s="185"/>
      <c r="CX172" s="185"/>
      <c r="CY172" s="185"/>
    </row>
    <row r="173" spans="1:103">
      <c r="A173" s="153"/>
      <c r="B173" s="153"/>
      <c r="C173" s="183"/>
      <c r="E173" s="8"/>
      <c r="F173" s="17"/>
      <c r="G173" s="17"/>
      <c r="H173" s="17"/>
      <c r="I173" s="17"/>
      <c r="J173" s="17"/>
      <c r="K173" s="17"/>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c r="AS173" s="185"/>
      <c r="AT173" s="185"/>
      <c r="AU173" s="185"/>
      <c r="AV173" s="185"/>
      <c r="AW173" s="185"/>
      <c r="AX173" s="185"/>
      <c r="AY173" s="185"/>
      <c r="AZ173" s="185"/>
      <c r="BA173" s="185"/>
      <c r="BB173" s="185"/>
      <c r="BC173" s="185"/>
      <c r="BD173" s="185"/>
      <c r="BE173" s="185"/>
      <c r="BF173" s="185"/>
      <c r="BG173" s="185"/>
      <c r="BH173" s="185"/>
      <c r="BI173" s="185"/>
      <c r="BJ173" s="185"/>
      <c r="BK173" s="185"/>
      <c r="BL173" s="185"/>
      <c r="BM173" s="185"/>
      <c r="BN173" s="185"/>
      <c r="BO173" s="185"/>
      <c r="BP173" s="185"/>
      <c r="BQ173" s="185"/>
      <c r="BR173" s="185"/>
      <c r="BS173" s="185"/>
      <c r="BT173" s="185"/>
      <c r="BU173" s="185"/>
      <c r="BV173" s="185"/>
      <c r="BW173" s="185"/>
      <c r="BX173" s="185"/>
      <c r="BY173" s="185"/>
      <c r="BZ173" s="185"/>
      <c r="CA173" s="185"/>
      <c r="CB173" s="185"/>
      <c r="CC173" s="185"/>
      <c r="CD173" s="185"/>
      <c r="CE173" s="185"/>
      <c r="CF173" s="185"/>
      <c r="CG173" s="185"/>
      <c r="CH173" s="185"/>
      <c r="CI173" s="185"/>
      <c r="CJ173" s="185"/>
      <c r="CK173" s="185"/>
      <c r="CL173" s="185"/>
      <c r="CM173" s="185"/>
      <c r="CN173" s="185"/>
      <c r="CO173" s="185"/>
      <c r="CP173" s="185"/>
      <c r="CQ173" s="185"/>
      <c r="CR173" s="185"/>
      <c r="CS173" s="185"/>
      <c r="CT173" s="185"/>
      <c r="CU173" s="185"/>
      <c r="CV173" s="185"/>
      <c r="CW173" s="185"/>
      <c r="CX173" s="185"/>
      <c r="CY173" s="185"/>
    </row>
    <row r="174" spans="1:103">
      <c r="A174" s="153"/>
      <c r="B174" s="153"/>
      <c r="C174" s="183"/>
      <c r="E174" s="8"/>
      <c r="F174" s="17"/>
      <c r="G174" s="17"/>
      <c r="H174" s="17"/>
      <c r="I174" s="17"/>
      <c r="J174" s="17"/>
      <c r="K174" s="17"/>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c r="AS174" s="185"/>
      <c r="AT174" s="185"/>
      <c r="AU174" s="185"/>
      <c r="AV174" s="185"/>
      <c r="AW174" s="185"/>
      <c r="AX174" s="185"/>
      <c r="AY174" s="185"/>
      <c r="AZ174" s="185"/>
      <c r="BA174" s="185"/>
      <c r="BB174" s="185"/>
      <c r="BC174" s="185"/>
      <c r="BD174" s="185"/>
      <c r="BE174" s="185"/>
      <c r="BF174" s="185"/>
      <c r="BG174" s="185"/>
      <c r="BH174" s="185"/>
      <c r="BI174" s="185"/>
      <c r="BJ174" s="185"/>
      <c r="BK174" s="185"/>
      <c r="BL174" s="185"/>
      <c r="BM174" s="185"/>
      <c r="BN174" s="185"/>
      <c r="BO174" s="185"/>
      <c r="BP174" s="185"/>
      <c r="BQ174" s="185"/>
      <c r="BR174" s="185"/>
      <c r="BS174" s="185"/>
      <c r="BT174" s="185"/>
      <c r="BU174" s="185"/>
      <c r="BV174" s="185"/>
      <c r="BW174" s="185"/>
      <c r="BX174" s="185"/>
      <c r="BY174" s="185"/>
      <c r="BZ174" s="185"/>
      <c r="CA174" s="185"/>
      <c r="CB174" s="185"/>
      <c r="CC174" s="185"/>
      <c r="CD174" s="185"/>
      <c r="CE174" s="185"/>
      <c r="CF174" s="185"/>
      <c r="CG174" s="185"/>
      <c r="CH174" s="185"/>
      <c r="CI174" s="185"/>
      <c r="CJ174" s="185"/>
      <c r="CK174" s="185"/>
      <c r="CL174" s="185"/>
      <c r="CM174" s="185"/>
      <c r="CN174" s="185"/>
      <c r="CO174" s="185"/>
      <c r="CP174" s="185"/>
      <c r="CQ174" s="185"/>
      <c r="CR174" s="185"/>
      <c r="CS174" s="185"/>
      <c r="CT174" s="185"/>
      <c r="CU174" s="185"/>
      <c r="CV174" s="185"/>
      <c r="CW174" s="185"/>
      <c r="CX174" s="185"/>
      <c r="CY174" s="185"/>
    </row>
    <row r="175" spans="1:103">
      <c r="A175" s="153"/>
      <c r="B175" s="153"/>
      <c r="C175" s="183"/>
      <c r="E175" s="8"/>
      <c r="F175" s="17"/>
      <c r="G175" s="17"/>
      <c r="H175" s="17"/>
      <c r="I175" s="17"/>
      <c r="J175" s="17"/>
      <c r="K175" s="17"/>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c r="AS175" s="185"/>
      <c r="AT175" s="185"/>
      <c r="AU175" s="185"/>
      <c r="AV175" s="185"/>
      <c r="AW175" s="185"/>
      <c r="AX175" s="185"/>
      <c r="AY175" s="185"/>
      <c r="AZ175" s="185"/>
      <c r="BA175" s="185"/>
      <c r="BB175" s="185"/>
      <c r="BC175" s="185"/>
      <c r="BD175" s="185"/>
      <c r="BE175" s="185"/>
      <c r="BF175" s="185"/>
      <c r="BG175" s="185"/>
      <c r="BH175" s="185"/>
      <c r="BI175" s="185"/>
      <c r="BJ175" s="185"/>
      <c r="BK175" s="185"/>
      <c r="BL175" s="185"/>
      <c r="BM175" s="185"/>
      <c r="BN175" s="185"/>
      <c r="BO175" s="185"/>
      <c r="BP175" s="185"/>
      <c r="BQ175" s="185"/>
      <c r="BR175" s="185"/>
      <c r="BS175" s="185"/>
      <c r="BT175" s="185"/>
      <c r="BU175" s="185"/>
      <c r="BV175" s="185"/>
      <c r="BW175" s="185"/>
      <c r="BX175" s="185"/>
      <c r="BY175" s="185"/>
      <c r="BZ175" s="185"/>
      <c r="CA175" s="185"/>
      <c r="CB175" s="185"/>
      <c r="CC175" s="185"/>
      <c r="CD175" s="185"/>
      <c r="CE175" s="185"/>
      <c r="CF175" s="185"/>
      <c r="CG175" s="185"/>
      <c r="CH175" s="185"/>
      <c r="CI175" s="185"/>
      <c r="CJ175" s="185"/>
      <c r="CK175" s="185"/>
      <c r="CL175" s="185"/>
      <c r="CM175" s="185"/>
      <c r="CN175" s="185"/>
      <c r="CO175" s="185"/>
      <c r="CP175" s="185"/>
      <c r="CQ175" s="185"/>
      <c r="CR175" s="185"/>
      <c r="CS175" s="185"/>
      <c r="CT175" s="185"/>
      <c r="CU175" s="185"/>
      <c r="CV175" s="185"/>
      <c r="CW175" s="185"/>
      <c r="CX175" s="185"/>
      <c r="CY175" s="185"/>
    </row>
    <row r="176" spans="1:103">
      <c r="A176" s="153"/>
      <c r="B176" s="153"/>
      <c r="C176" s="183"/>
      <c r="E176" s="8"/>
      <c r="F176" s="17"/>
      <c r="G176" s="17"/>
      <c r="H176" s="17"/>
      <c r="I176" s="17"/>
      <c r="J176" s="17"/>
      <c r="K176" s="17"/>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c r="AS176" s="185"/>
      <c r="AT176" s="185"/>
      <c r="AU176" s="185"/>
      <c r="AV176" s="185"/>
      <c r="AW176" s="185"/>
      <c r="AX176" s="185"/>
      <c r="AY176" s="185"/>
      <c r="AZ176" s="185"/>
      <c r="BA176" s="185"/>
      <c r="BB176" s="185"/>
      <c r="BC176" s="185"/>
      <c r="BD176" s="185"/>
      <c r="BE176" s="185"/>
      <c r="BF176" s="185"/>
      <c r="BG176" s="185"/>
      <c r="BH176" s="185"/>
      <c r="BI176" s="185"/>
      <c r="BJ176" s="185"/>
      <c r="BK176" s="185"/>
      <c r="BL176" s="185"/>
      <c r="BM176" s="185"/>
      <c r="BN176" s="185"/>
      <c r="BO176" s="185"/>
      <c r="BP176" s="185"/>
      <c r="BQ176" s="185"/>
      <c r="BR176" s="185"/>
      <c r="BS176" s="185"/>
      <c r="BT176" s="185"/>
      <c r="BU176" s="185"/>
      <c r="BV176" s="185"/>
      <c r="BW176" s="185"/>
      <c r="BX176" s="185"/>
      <c r="BY176" s="185"/>
      <c r="BZ176" s="185"/>
      <c r="CA176" s="185"/>
      <c r="CB176" s="185"/>
      <c r="CC176" s="185"/>
      <c r="CD176" s="185"/>
      <c r="CE176" s="185"/>
      <c r="CF176" s="185"/>
      <c r="CG176" s="185"/>
      <c r="CH176" s="185"/>
      <c r="CI176" s="185"/>
      <c r="CJ176" s="185"/>
      <c r="CK176" s="185"/>
      <c r="CL176" s="185"/>
      <c r="CM176" s="185"/>
      <c r="CN176" s="185"/>
      <c r="CO176" s="185"/>
      <c r="CP176" s="185"/>
      <c r="CQ176" s="185"/>
      <c r="CR176" s="185"/>
      <c r="CS176" s="185"/>
      <c r="CT176" s="185"/>
      <c r="CU176" s="185"/>
      <c r="CV176" s="185"/>
      <c r="CW176" s="185"/>
      <c r="CX176" s="185"/>
      <c r="CY176" s="185"/>
    </row>
    <row r="177" spans="1:103">
      <c r="A177" s="153"/>
      <c r="B177" s="153"/>
      <c r="C177" s="183"/>
      <c r="E177" s="8"/>
      <c r="F177" s="17"/>
      <c r="G177" s="17"/>
      <c r="H177" s="17"/>
      <c r="I177" s="17"/>
      <c r="J177" s="17"/>
      <c r="K177" s="17"/>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c r="AS177" s="185"/>
      <c r="AT177" s="185"/>
      <c r="AU177" s="185"/>
      <c r="AV177" s="185"/>
      <c r="AW177" s="185"/>
      <c r="AX177" s="185"/>
      <c r="AY177" s="185"/>
      <c r="AZ177" s="185"/>
      <c r="BA177" s="185"/>
      <c r="BB177" s="185"/>
      <c r="BC177" s="185"/>
      <c r="BD177" s="185"/>
      <c r="BE177" s="185"/>
      <c r="BF177" s="185"/>
      <c r="BG177" s="185"/>
      <c r="BH177" s="185"/>
      <c r="BI177" s="185"/>
      <c r="BJ177" s="185"/>
      <c r="BK177" s="185"/>
      <c r="BL177" s="185"/>
      <c r="BM177" s="185"/>
      <c r="BN177" s="185"/>
      <c r="BO177" s="185"/>
      <c r="BP177" s="185"/>
      <c r="BQ177" s="185"/>
      <c r="BR177" s="185"/>
      <c r="BS177" s="185"/>
      <c r="BT177" s="185"/>
      <c r="BU177" s="185"/>
      <c r="BV177" s="185"/>
      <c r="BW177" s="185"/>
      <c r="BX177" s="185"/>
      <c r="BY177" s="185"/>
      <c r="BZ177" s="185"/>
      <c r="CA177" s="185"/>
      <c r="CB177" s="185"/>
      <c r="CC177" s="185"/>
      <c r="CD177" s="185"/>
      <c r="CE177" s="185"/>
      <c r="CF177" s="185"/>
      <c r="CG177" s="185"/>
      <c r="CH177" s="185"/>
      <c r="CI177" s="185"/>
      <c r="CJ177" s="185"/>
      <c r="CK177" s="185"/>
      <c r="CL177" s="185"/>
      <c r="CM177" s="185"/>
      <c r="CN177" s="185"/>
      <c r="CO177" s="185"/>
      <c r="CP177" s="185"/>
      <c r="CQ177" s="185"/>
      <c r="CR177" s="185"/>
      <c r="CS177" s="185"/>
      <c r="CT177" s="185"/>
      <c r="CU177" s="185"/>
      <c r="CV177" s="185"/>
      <c r="CW177" s="185"/>
      <c r="CX177" s="185"/>
      <c r="CY177" s="185"/>
    </row>
    <row r="178" spans="1:103">
      <c r="A178" s="153"/>
      <c r="B178" s="153"/>
      <c r="C178" s="183"/>
      <c r="E178" s="8"/>
      <c r="F178" s="17"/>
      <c r="G178" s="17"/>
      <c r="H178" s="17"/>
      <c r="I178" s="17"/>
      <c r="J178" s="17"/>
      <c r="K178" s="17"/>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c r="AS178" s="185"/>
      <c r="AT178" s="185"/>
      <c r="AU178" s="185"/>
      <c r="AV178" s="185"/>
      <c r="AW178" s="185"/>
      <c r="AX178" s="185"/>
      <c r="AY178" s="185"/>
      <c r="AZ178" s="185"/>
      <c r="BA178" s="185"/>
      <c r="BB178" s="185"/>
      <c r="BC178" s="185"/>
      <c r="BD178" s="185"/>
      <c r="BE178" s="185"/>
      <c r="BF178" s="185"/>
      <c r="BG178" s="185"/>
      <c r="BH178" s="185"/>
      <c r="BI178" s="185"/>
      <c r="BJ178" s="185"/>
      <c r="BK178" s="185"/>
      <c r="BL178" s="185"/>
      <c r="BM178" s="185"/>
      <c r="BN178" s="185"/>
      <c r="BO178" s="185"/>
      <c r="BP178" s="185"/>
      <c r="BQ178" s="185"/>
      <c r="BR178" s="185"/>
      <c r="BS178" s="185"/>
      <c r="BT178" s="185"/>
      <c r="BU178" s="185"/>
      <c r="BV178" s="185"/>
      <c r="BW178" s="185"/>
      <c r="BX178" s="185"/>
      <c r="BY178" s="185"/>
      <c r="BZ178" s="185"/>
      <c r="CA178" s="185"/>
      <c r="CB178" s="185"/>
      <c r="CC178" s="185"/>
      <c r="CD178" s="185"/>
      <c r="CE178" s="185"/>
      <c r="CF178" s="185"/>
      <c r="CG178" s="185"/>
      <c r="CH178" s="185"/>
      <c r="CI178" s="185"/>
      <c r="CJ178" s="185"/>
      <c r="CK178" s="185"/>
      <c r="CL178" s="185"/>
      <c r="CM178" s="185"/>
      <c r="CN178" s="185"/>
      <c r="CO178" s="185"/>
      <c r="CP178" s="185"/>
      <c r="CQ178" s="185"/>
      <c r="CR178" s="185"/>
      <c r="CS178" s="185"/>
      <c r="CT178" s="185"/>
      <c r="CU178" s="185"/>
      <c r="CV178" s="185"/>
      <c r="CW178" s="185"/>
      <c r="CX178" s="185"/>
      <c r="CY178" s="185"/>
    </row>
    <row r="179" spans="1:103">
      <c r="A179" s="153"/>
      <c r="B179" s="153"/>
      <c r="C179" s="183"/>
      <c r="E179" s="8"/>
      <c r="F179" s="17"/>
      <c r="G179" s="17"/>
      <c r="H179" s="17"/>
      <c r="I179" s="17"/>
      <c r="J179" s="17"/>
      <c r="K179" s="17"/>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c r="AS179" s="185"/>
      <c r="AT179" s="185"/>
      <c r="AU179" s="185"/>
      <c r="AV179" s="185"/>
      <c r="AW179" s="185"/>
      <c r="AX179" s="185"/>
      <c r="AY179" s="185"/>
      <c r="AZ179" s="185"/>
      <c r="BA179" s="185"/>
      <c r="BB179" s="185"/>
      <c r="BC179" s="185"/>
      <c r="BD179" s="185"/>
      <c r="BE179" s="185"/>
      <c r="BF179" s="185"/>
      <c r="BG179" s="185"/>
      <c r="BH179" s="185"/>
      <c r="BI179" s="185"/>
      <c r="BJ179" s="185"/>
      <c r="BK179" s="185"/>
      <c r="BL179" s="185"/>
      <c r="BM179" s="185"/>
      <c r="BN179" s="185"/>
      <c r="BO179" s="185"/>
      <c r="BP179" s="185"/>
      <c r="BQ179" s="185"/>
      <c r="BR179" s="185"/>
      <c r="BS179" s="185"/>
      <c r="BT179" s="185"/>
      <c r="BU179" s="185"/>
      <c r="BV179" s="185"/>
      <c r="BW179" s="185"/>
      <c r="BX179" s="185"/>
      <c r="BY179" s="185"/>
      <c r="BZ179" s="185"/>
      <c r="CA179" s="185"/>
      <c r="CB179" s="185"/>
      <c r="CC179" s="185"/>
      <c r="CD179" s="185"/>
      <c r="CE179" s="185"/>
      <c r="CF179" s="185"/>
      <c r="CG179" s="185"/>
      <c r="CH179" s="185"/>
      <c r="CI179" s="185"/>
      <c r="CJ179" s="185"/>
      <c r="CK179" s="185"/>
      <c r="CL179" s="185"/>
      <c r="CM179" s="185"/>
      <c r="CN179" s="185"/>
      <c r="CO179" s="185"/>
      <c r="CP179" s="185"/>
      <c r="CQ179" s="185"/>
      <c r="CR179" s="185"/>
      <c r="CS179" s="185"/>
      <c r="CT179" s="185"/>
      <c r="CU179" s="185"/>
      <c r="CV179" s="185"/>
      <c r="CW179" s="185"/>
      <c r="CX179" s="185"/>
      <c r="CY179" s="185"/>
    </row>
    <row r="180" spans="1:103">
      <c r="A180" s="153"/>
      <c r="B180" s="153"/>
      <c r="C180" s="183"/>
      <c r="E180" s="8"/>
      <c r="F180" s="17"/>
      <c r="G180" s="17"/>
      <c r="H180" s="17"/>
      <c r="I180" s="17"/>
      <c r="J180" s="17"/>
      <c r="K180" s="17"/>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c r="AS180" s="185"/>
      <c r="AT180" s="185"/>
      <c r="AU180" s="185"/>
      <c r="AV180" s="185"/>
      <c r="AW180" s="185"/>
      <c r="AX180" s="185"/>
      <c r="AY180" s="185"/>
      <c r="AZ180" s="185"/>
      <c r="BA180" s="185"/>
      <c r="BB180" s="185"/>
      <c r="BC180" s="185"/>
      <c r="BD180" s="185"/>
      <c r="BE180" s="185"/>
      <c r="BF180" s="185"/>
      <c r="BG180" s="185"/>
      <c r="BH180" s="185"/>
      <c r="BI180" s="185"/>
      <c r="BJ180" s="185"/>
      <c r="BK180" s="185"/>
      <c r="BL180" s="185"/>
      <c r="BM180" s="185"/>
      <c r="BN180" s="185"/>
      <c r="BO180" s="185"/>
      <c r="BP180" s="185"/>
      <c r="BQ180" s="185"/>
      <c r="BR180" s="185"/>
      <c r="BS180" s="185"/>
      <c r="BT180" s="185"/>
      <c r="BU180" s="185"/>
      <c r="BV180" s="185"/>
      <c r="BW180" s="185"/>
      <c r="BX180" s="185"/>
      <c r="BY180" s="185"/>
      <c r="BZ180" s="185"/>
      <c r="CA180" s="185"/>
      <c r="CB180" s="185"/>
      <c r="CC180" s="185"/>
      <c r="CD180" s="185"/>
      <c r="CE180" s="185"/>
      <c r="CF180" s="185"/>
      <c r="CG180" s="185"/>
      <c r="CH180" s="185"/>
      <c r="CI180" s="185"/>
      <c r="CJ180" s="185"/>
      <c r="CK180" s="185"/>
      <c r="CL180" s="185"/>
      <c r="CM180" s="185"/>
      <c r="CN180" s="185"/>
      <c r="CO180" s="185"/>
      <c r="CP180" s="185"/>
      <c r="CQ180" s="185"/>
      <c r="CR180" s="185"/>
      <c r="CS180" s="185"/>
      <c r="CT180" s="185"/>
      <c r="CU180" s="185"/>
      <c r="CV180" s="185"/>
      <c r="CW180" s="185"/>
      <c r="CX180" s="185"/>
      <c r="CY180" s="185"/>
    </row>
    <row r="181" spans="1:103">
      <c r="A181" s="153"/>
      <c r="B181" s="153"/>
      <c r="C181" s="183"/>
      <c r="E181" s="8"/>
      <c r="F181" s="17"/>
      <c r="G181" s="17"/>
      <c r="H181" s="17"/>
      <c r="I181" s="17"/>
      <c r="J181" s="17"/>
      <c r="K181" s="17"/>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c r="AS181" s="185"/>
      <c r="AT181" s="185"/>
      <c r="AU181" s="185"/>
      <c r="AV181" s="185"/>
      <c r="AW181" s="185"/>
      <c r="AX181" s="185"/>
      <c r="AY181" s="185"/>
      <c r="AZ181" s="185"/>
      <c r="BA181" s="185"/>
      <c r="BB181" s="185"/>
      <c r="BC181" s="185"/>
      <c r="BD181" s="185"/>
      <c r="BE181" s="185"/>
      <c r="BF181" s="185"/>
      <c r="BG181" s="185"/>
      <c r="BH181" s="185"/>
      <c r="BI181" s="185"/>
      <c r="BJ181" s="185"/>
      <c r="BK181" s="185"/>
      <c r="BL181" s="185"/>
      <c r="BM181" s="185"/>
      <c r="BN181" s="185"/>
      <c r="BO181" s="185"/>
      <c r="BP181" s="185"/>
      <c r="BQ181" s="185"/>
      <c r="BR181" s="185"/>
      <c r="BS181" s="185"/>
      <c r="BT181" s="185"/>
      <c r="BU181" s="185"/>
      <c r="BV181" s="185"/>
      <c r="BW181" s="185"/>
      <c r="BX181" s="185"/>
      <c r="BY181" s="185"/>
      <c r="BZ181" s="185"/>
      <c r="CA181" s="185"/>
      <c r="CB181" s="185"/>
      <c r="CC181" s="185"/>
      <c r="CD181" s="185"/>
      <c r="CE181" s="185"/>
      <c r="CF181" s="185"/>
      <c r="CG181" s="185"/>
      <c r="CH181" s="185"/>
      <c r="CI181" s="185"/>
      <c r="CJ181" s="185"/>
      <c r="CK181" s="185"/>
      <c r="CL181" s="185"/>
      <c r="CM181" s="185"/>
      <c r="CN181" s="185"/>
      <c r="CO181" s="185"/>
      <c r="CP181" s="185"/>
      <c r="CQ181" s="185"/>
      <c r="CR181" s="185"/>
      <c r="CS181" s="185"/>
      <c r="CT181" s="185"/>
      <c r="CU181" s="185"/>
      <c r="CV181" s="185"/>
      <c r="CW181" s="185"/>
      <c r="CX181" s="185"/>
      <c r="CY181" s="185"/>
    </row>
    <row r="182" spans="1:103">
      <c r="A182" s="153"/>
      <c r="B182" s="153"/>
      <c r="C182" s="183"/>
      <c r="E182" s="8"/>
      <c r="F182" s="17"/>
      <c r="G182" s="17"/>
      <c r="H182" s="17"/>
      <c r="I182" s="17"/>
      <c r="J182" s="17"/>
      <c r="K182" s="17"/>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c r="AS182" s="185"/>
      <c r="AT182" s="185"/>
      <c r="AU182" s="185"/>
      <c r="AV182" s="185"/>
      <c r="AW182" s="185"/>
      <c r="AX182" s="185"/>
      <c r="AY182" s="185"/>
      <c r="AZ182" s="185"/>
      <c r="BA182" s="185"/>
      <c r="BB182" s="185"/>
      <c r="BC182" s="185"/>
      <c r="BD182" s="185"/>
      <c r="BE182" s="185"/>
      <c r="BF182" s="185"/>
      <c r="BG182" s="185"/>
      <c r="BH182" s="185"/>
      <c r="BI182" s="185"/>
      <c r="BJ182" s="185"/>
      <c r="BK182" s="185"/>
      <c r="BL182" s="185"/>
      <c r="BM182" s="185"/>
      <c r="BN182" s="185"/>
      <c r="BO182" s="185"/>
      <c r="BP182" s="185"/>
      <c r="BQ182" s="185"/>
      <c r="BR182" s="185"/>
      <c r="BS182" s="185"/>
      <c r="BT182" s="185"/>
      <c r="BU182" s="185"/>
      <c r="BV182" s="185"/>
      <c r="BW182" s="185"/>
      <c r="BX182" s="185"/>
      <c r="BY182" s="185"/>
      <c r="BZ182" s="185"/>
      <c r="CA182" s="185"/>
      <c r="CB182" s="185"/>
      <c r="CC182" s="185"/>
      <c r="CD182" s="185"/>
      <c r="CE182" s="185"/>
      <c r="CF182" s="185"/>
      <c r="CG182" s="185"/>
      <c r="CH182" s="185"/>
      <c r="CI182" s="185"/>
      <c r="CJ182" s="185"/>
      <c r="CK182" s="185"/>
      <c r="CL182" s="185"/>
      <c r="CM182" s="185"/>
      <c r="CN182" s="185"/>
      <c r="CO182" s="185"/>
      <c r="CP182" s="185"/>
      <c r="CQ182" s="185"/>
      <c r="CR182" s="185"/>
      <c r="CS182" s="185"/>
      <c r="CT182" s="185"/>
      <c r="CU182" s="185"/>
      <c r="CV182" s="185"/>
      <c r="CW182" s="185"/>
      <c r="CX182" s="185"/>
      <c r="CY182" s="185"/>
    </row>
    <row r="183" spans="1:103">
      <c r="A183" s="153"/>
      <c r="B183" s="153"/>
      <c r="C183" s="183"/>
      <c r="E183" s="8"/>
      <c r="F183" s="17"/>
      <c r="G183" s="17"/>
      <c r="H183" s="17"/>
      <c r="I183" s="17"/>
      <c r="J183" s="17"/>
      <c r="K183" s="17"/>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c r="AS183" s="185"/>
      <c r="AT183" s="185"/>
      <c r="AU183" s="185"/>
      <c r="AV183" s="185"/>
      <c r="AW183" s="185"/>
      <c r="AX183" s="185"/>
      <c r="AY183" s="185"/>
      <c r="AZ183" s="185"/>
      <c r="BA183" s="185"/>
      <c r="BB183" s="185"/>
      <c r="BC183" s="185"/>
      <c r="BD183" s="185"/>
      <c r="BE183" s="185"/>
      <c r="BF183" s="185"/>
      <c r="BG183" s="185"/>
      <c r="BH183" s="185"/>
      <c r="BI183" s="185"/>
      <c r="BJ183" s="185"/>
      <c r="BK183" s="185"/>
      <c r="BL183" s="185"/>
      <c r="BM183" s="185"/>
      <c r="BN183" s="185"/>
      <c r="BO183" s="185"/>
      <c r="BP183" s="185"/>
      <c r="BQ183" s="185"/>
      <c r="BR183" s="185"/>
      <c r="BS183" s="185"/>
      <c r="BT183" s="185"/>
      <c r="BU183" s="185"/>
      <c r="BV183" s="185"/>
      <c r="BW183" s="185"/>
      <c r="BX183" s="185"/>
      <c r="BY183" s="185"/>
      <c r="BZ183" s="185"/>
      <c r="CA183" s="185"/>
      <c r="CB183" s="185"/>
      <c r="CC183" s="185"/>
      <c r="CD183" s="185"/>
      <c r="CE183" s="185"/>
      <c r="CF183" s="185"/>
      <c r="CG183" s="185"/>
      <c r="CH183" s="185"/>
      <c r="CI183" s="185"/>
      <c r="CJ183" s="185"/>
      <c r="CK183" s="185"/>
      <c r="CL183" s="185"/>
      <c r="CM183" s="185"/>
      <c r="CN183" s="185"/>
      <c r="CO183" s="185"/>
      <c r="CP183" s="185"/>
      <c r="CQ183" s="185"/>
      <c r="CR183" s="185"/>
      <c r="CS183" s="185"/>
      <c r="CT183" s="185"/>
      <c r="CU183" s="185"/>
      <c r="CV183" s="185"/>
      <c r="CW183" s="185"/>
      <c r="CX183" s="185"/>
      <c r="CY183" s="185"/>
    </row>
    <row r="184" spans="1:103">
      <c r="A184" s="153"/>
      <c r="B184" s="153"/>
      <c r="C184" s="183"/>
      <c r="E184" s="8"/>
      <c r="F184" s="17"/>
      <c r="G184" s="17"/>
      <c r="H184" s="17"/>
      <c r="I184" s="17"/>
      <c r="J184" s="17"/>
      <c r="K184" s="17"/>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c r="AS184" s="185"/>
      <c r="AT184" s="185"/>
      <c r="AU184" s="185"/>
      <c r="AV184" s="185"/>
      <c r="AW184" s="185"/>
      <c r="AX184" s="185"/>
      <c r="AY184" s="185"/>
      <c r="AZ184" s="185"/>
      <c r="BA184" s="185"/>
      <c r="BB184" s="185"/>
      <c r="BC184" s="185"/>
      <c r="BD184" s="185"/>
      <c r="BE184" s="185"/>
      <c r="BF184" s="185"/>
      <c r="BG184" s="185"/>
      <c r="BH184" s="185"/>
      <c r="BI184" s="185"/>
      <c r="BJ184" s="185"/>
      <c r="BK184" s="185"/>
      <c r="BL184" s="185"/>
      <c r="BM184" s="185"/>
      <c r="BN184" s="185"/>
      <c r="BO184" s="185"/>
      <c r="BP184" s="185"/>
      <c r="BQ184" s="185"/>
      <c r="BR184" s="185"/>
      <c r="BS184" s="185"/>
      <c r="BT184" s="185"/>
      <c r="BU184" s="185"/>
      <c r="BV184" s="185"/>
      <c r="BW184" s="185"/>
      <c r="BX184" s="185"/>
      <c r="BY184" s="185"/>
      <c r="BZ184" s="185"/>
      <c r="CA184" s="185"/>
      <c r="CB184" s="185"/>
      <c r="CC184" s="185"/>
      <c r="CD184" s="185"/>
      <c r="CE184" s="185"/>
      <c r="CF184" s="185"/>
      <c r="CG184" s="185"/>
      <c r="CH184" s="185"/>
      <c r="CI184" s="185"/>
      <c r="CJ184" s="185"/>
      <c r="CK184" s="185"/>
      <c r="CL184" s="185"/>
      <c r="CM184" s="185"/>
      <c r="CN184" s="185"/>
      <c r="CO184" s="185"/>
      <c r="CP184" s="185"/>
      <c r="CQ184" s="185"/>
      <c r="CR184" s="185"/>
      <c r="CS184" s="185"/>
      <c r="CT184" s="185"/>
      <c r="CU184" s="185"/>
      <c r="CV184" s="185"/>
      <c r="CW184" s="185"/>
      <c r="CX184" s="185"/>
      <c r="CY184" s="185"/>
    </row>
    <row r="185" spans="1:103">
      <c r="A185" s="153"/>
      <c r="B185" s="153"/>
      <c r="C185" s="183"/>
      <c r="E185" s="8"/>
      <c r="F185" s="17"/>
      <c r="G185" s="17"/>
      <c r="H185" s="17"/>
      <c r="I185" s="17"/>
      <c r="J185" s="17"/>
      <c r="K185" s="17"/>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c r="AS185" s="185"/>
      <c r="AT185" s="185"/>
      <c r="AU185" s="185"/>
      <c r="AV185" s="185"/>
      <c r="AW185" s="185"/>
      <c r="AX185" s="185"/>
      <c r="AY185" s="185"/>
      <c r="AZ185" s="185"/>
      <c r="BA185" s="185"/>
      <c r="BB185" s="185"/>
      <c r="BC185" s="185"/>
      <c r="BD185" s="185"/>
      <c r="BE185" s="185"/>
      <c r="BF185" s="185"/>
      <c r="BG185" s="185"/>
      <c r="BH185" s="185"/>
      <c r="BI185" s="185"/>
      <c r="BJ185" s="185"/>
      <c r="BK185" s="185"/>
      <c r="BL185" s="185"/>
      <c r="BM185" s="185"/>
      <c r="BN185" s="185"/>
      <c r="BO185" s="185"/>
      <c r="BP185" s="185"/>
      <c r="BQ185" s="185"/>
      <c r="BR185" s="185"/>
      <c r="BS185" s="185"/>
      <c r="BT185" s="185"/>
      <c r="BU185" s="185"/>
      <c r="BV185" s="185"/>
      <c r="BW185" s="185"/>
      <c r="BX185" s="185"/>
      <c r="BY185" s="185"/>
      <c r="BZ185" s="185"/>
      <c r="CA185" s="185"/>
      <c r="CB185" s="185"/>
      <c r="CC185" s="185"/>
      <c r="CD185" s="185"/>
      <c r="CE185" s="185"/>
      <c r="CF185" s="185"/>
      <c r="CG185" s="185"/>
      <c r="CH185" s="185"/>
      <c r="CI185" s="185"/>
      <c r="CJ185" s="185"/>
      <c r="CK185" s="185"/>
      <c r="CL185" s="185"/>
      <c r="CM185" s="185"/>
      <c r="CN185" s="185"/>
      <c r="CO185" s="185"/>
      <c r="CP185" s="185"/>
      <c r="CQ185" s="185"/>
      <c r="CR185" s="185"/>
      <c r="CS185" s="185"/>
      <c r="CT185" s="185"/>
      <c r="CU185" s="185"/>
      <c r="CV185" s="185"/>
      <c r="CW185" s="185"/>
      <c r="CX185" s="185"/>
      <c r="CY185" s="185"/>
    </row>
    <row r="186" spans="1:103">
      <c r="A186" s="153"/>
      <c r="B186" s="153"/>
      <c r="C186" s="183"/>
      <c r="E186" s="8"/>
      <c r="F186" s="17"/>
      <c r="G186" s="17"/>
      <c r="H186" s="17"/>
      <c r="I186" s="17"/>
      <c r="J186" s="17"/>
      <c r="K186" s="17"/>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c r="AS186" s="185"/>
      <c r="AT186" s="185"/>
      <c r="AU186" s="185"/>
      <c r="AV186" s="185"/>
      <c r="AW186" s="185"/>
      <c r="AX186" s="185"/>
      <c r="AY186" s="185"/>
      <c r="AZ186" s="185"/>
      <c r="BA186" s="185"/>
      <c r="BB186" s="185"/>
      <c r="BC186" s="185"/>
      <c r="BD186" s="185"/>
      <c r="BE186" s="185"/>
      <c r="BF186" s="185"/>
      <c r="BG186" s="185"/>
      <c r="BH186" s="185"/>
      <c r="BI186" s="185"/>
      <c r="BJ186" s="185"/>
      <c r="BK186" s="185"/>
      <c r="BL186" s="185"/>
      <c r="BM186" s="185"/>
      <c r="BN186" s="185"/>
      <c r="BO186" s="185"/>
      <c r="BP186" s="185"/>
      <c r="BQ186" s="185"/>
      <c r="BR186" s="185"/>
      <c r="BS186" s="185"/>
      <c r="BT186" s="185"/>
      <c r="BU186" s="185"/>
      <c r="BV186" s="185"/>
      <c r="BW186" s="185"/>
      <c r="BX186" s="185"/>
      <c r="BY186" s="185"/>
      <c r="BZ186" s="185"/>
      <c r="CA186" s="185"/>
      <c r="CB186" s="185"/>
      <c r="CC186" s="185"/>
      <c r="CD186" s="185"/>
      <c r="CE186" s="185"/>
      <c r="CF186" s="185"/>
      <c r="CG186" s="185"/>
      <c r="CH186" s="185"/>
      <c r="CI186" s="185"/>
      <c r="CJ186" s="185"/>
      <c r="CK186" s="185"/>
      <c r="CL186" s="185"/>
      <c r="CM186" s="185"/>
      <c r="CN186" s="185"/>
      <c r="CO186" s="185"/>
      <c r="CP186" s="185"/>
      <c r="CQ186" s="185"/>
      <c r="CR186" s="185"/>
      <c r="CS186" s="185"/>
      <c r="CT186" s="185"/>
      <c r="CU186" s="185"/>
      <c r="CV186" s="185"/>
      <c r="CW186" s="185"/>
      <c r="CX186" s="185"/>
      <c r="CY186" s="185"/>
    </row>
    <row r="187" spans="1:103">
      <c r="A187" s="153"/>
      <c r="B187" s="153"/>
      <c r="C187" s="183"/>
      <c r="E187" s="8"/>
      <c r="F187" s="17"/>
      <c r="G187" s="17"/>
      <c r="H187" s="17"/>
      <c r="I187" s="17"/>
      <c r="J187" s="17"/>
      <c r="K187" s="17"/>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c r="AS187" s="185"/>
      <c r="AT187" s="185"/>
      <c r="AU187" s="185"/>
      <c r="AV187" s="185"/>
      <c r="AW187" s="185"/>
      <c r="AX187" s="185"/>
      <c r="AY187" s="185"/>
      <c r="AZ187" s="185"/>
      <c r="BA187" s="185"/>
      <c r="BB187" s="185"/>
      <c r="BC187" s="185"/>
      <c r="BD187" s="185"/>
      <c r="BE187" s="185"/>
      <c r="BF187" s="185"/>
      <c r="BG187" s="185"/>
      <c r="BH187" s="185"/>
      <c r="BI187" s="185"/>
      <c r="BJ187" s="185"/>
      <c r="BK187" s="185"/>
      <c r="BL187" s="185"/>
      <c r="BM187" s="185"/>
      <c r="BN187" s="185"/>
      <c r="BO187" s="185"/>
      <c r="BP187" s="185"/>
      <c r="BQ187" s="185"/>
      <c r="BR187" s="185"/>
      <c r="BS187" s="185"/>
      <c r="BT187" s="185"/>
      <c r="BU187" s="185"/>
      <c r="BV187" s="185"/>
      <c r="BW187" s="185"/>
      <c r="BX187" s="185"/>
      <c r="BY187" s="185"/>
      <c r="BZ187" s="185"/>
      <c r="CA187" s="185"/>
      <c r="CB187" s="185"/>
      <c r="CC187" s="185"/>
      <c r="CD187" s="185"/>
      <c r="CE187" s="185"/>
      <c r="CF187" s="185"/>
      <c r="CG187" s="185"/>
      <c r="CH187" s="185"/>
      <c r="CI187" s="185"/>
      <c r="CJ187" s="185"/>
      <c r="CK187" s="185"/>
      <c r="CL187" s="185"/>
      <c r="CM187" s="185"/>
      <c r="CN187" s="185"/>
      <c r="CO187" s="185"/>
      <c r="CP187" s="185"/>
      <c r="CQ187" s="185"/>
      <c r="CR187" s="185"/>
      <c r="CS187" s="185"/>
      <c r="CT187" s="185"/>
      <c r="CU187" s="185"/>
      <c r="CV187" s="185"/>
      <c r="CW187" s="185"/>
      <c r="CX187" s="185"/>
      <c r="CY187" s="185"/>
    </row>
    <row r="188" spans="1:103">
      <c r="A188" s="153"/>
      <c r="B188" s="153"/>
      <c r="C188" s="183"/>
      <c r="E188" s="8"/>
      <c r="F188" s="17"/>
      <c r="G188" s="17"/>
      <c r="H188" s="17"/>
      <c r="I188" s="17"/>
      <c r="J188" s="17"/>
      <c r="K188" s="17"/>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c r="AS188" s="185"/>
      <c r="AT188" s="185"/>
      <c r="AU188" s="185"/>
      <c r="AV188" s="185"/>
      <c r="AW188" s="185"/>
      <c r="AX188" s="185"/>
      <c r="AY188" s="185"/>
      <c r="AZ188" s="185"/>
      <c r="BA188" s="185"/>
      <c r="BB188" s="185"/>
      <c r="BC188" s="185"/>
      <c r="BD188" s="185"/>
      <c r="BE188" s="185"/>
      <c r="BF188" s="185"/>
      <c r="BG188" s="185"/>
      <c r="BH188" s="185"/>
      <c r="BI188" s="185"/>
      <c r="BJ188" s="185"/>
      <c r="BK188" s="185"/>
      <c r="BL188" s="185"/>
      <c r="BM188" s="185"/>
      <c r="BN188" s="185"/>
      <c r="BO188" s="185"/>
      <c r="BP188" s="185"/>
      <c r="BQ188" s="185"/>
      <c r="BR188" s="185"/>
      <c r="BS188" s="185"/>
      <c r="BT188" s="185"/>
      <c r="BU188" s="185"/>
      <c r="BV188" s="185"/>
      <c r="BW188" s="185"/>
      <c r="BX188" s="185"/>
      <c r="BY188" s="185"/>
      <c r="BZ188" s="185"/>
      <c r="CA188" s="185"/>
      <c r="CB188" s="185"/>
      <c r="CC188" s="185"/>
      <c r="CD188" s="185"/>
      <c r="CE188" s="185"/>
      <c r="CF188" s="185"/>
      <c r="CG188" s="185"/>
      <c r="CH188" s="185"/>
      <c r="CI188" s="185"/>
      <c r="CJ188" s="185"/>
      <c r="CK188" s="185"/>
      <c r="CL188" s="185"/>
      <c r="CM188" s="185"/>
      <c r="CN188" s="185"/>
      <c r="CO188" s="185"/>
      <c r="CP188" s="185"/>
      <c r="CQ188" s="185"/>
      <c r="CR188" s="185"/>
      <c r="CS188" s="185"/>
      <c r="CT188" s="185"/>
      <c r="CU188" s="185"/>
      <c r="CV188" s="185"/>
      <c r="CW188" s="185"/>
      <c r="CX188" s="185"/>
      <c r="CY188" s="185"/>
    </row>
    <row r="189" spans="1:103">
      <c r="A189" s="153"/>
      <c r="B189" s="153"/>
      <c r="C189" s="183"/>
      <c r="E189" s="8"/>
      <c r="F189" s="17"/>
      <c r="G189" s="17"/>
      <c r="H189" s="17"/>
      <c r="I189" s="17"/>
      <c r="J189" s="17"/>
      <c r="K189" s="17"/>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c r="AS189" s="185"/>
      <c r="AT189" s="185"/>
      <c r="AU189" s="185"/>
      <c r="AV189" s="185"/>
      <c r="AW189" s="185"/>
      <c r="AX189" s="185"/>
      <c r="AY189" s="185"/>
      <c r="AZ189" s="185"/>
      <c r="BA189" s="185"/>
      <c r="BB189" s="185"/>
      <c r="BC189" s="185"/>
      <c r="BD189" s="185"/>
      <c r="BE189" s="185"/>
      <c r="BF189" s="185"/>
      <c r="BG189" s="185"/>
      <c r="BH189" s="185"/>
      <c r="BI189" s="185"/>
      <c r="BJ189" s="185"/>
      <c r="BK189" s="185"/>
      <c r="BL189" s="185"/>
      <c r="BM189" s="185"/>
      <c r="BN189" s="185"/>
      <c r="BO189" s="185"/>
      <c r="BP189" s="185"/>
      <c r="BQ189" s="185"/>
      <c r="BR189" s="185"/>
      <c r="BS189" s="185"/>
      <c r="BT189" s="185"/>
      <c r="BU189" s="185"/>
      <c r="BV189" s="185"/>
      <c r="BW189" s="185"/>
      <c r="BX189" s="185"/>
      <c r="BY189" s="185"/>
      <c r="BZ189" s="185"/>
      <c r="CA189" s="185"/>
      <c r="CB189" s="185"/>
      <c r="CC189" s="185"/>
      <c r="CD189" s="185"/>
      <c r="CE189" s="185"/>
      <c r="CF189" s="185"/>
      <c r="CG189" s="185"/>
      <c r="CH189" s="185"/>
      <c r="CI189" s="185"/>
      <c r="CJ189" s="185"/>
      <c r="CK189" s="185"/>
      <c r="CL189" s="185"/>
      <c r="CM189" s="185"/>
      <c r="CN189" s="185"/>
      <c r="CO189" s="185"/>
      <c r="CP189" s="185"/>
      <c r="CQ189" s="185"/>
      <c r="CR189" s="185"/>
      <c r="CS189" s="185"/>
      <c r="CT189" s="185"/>
      <c r="CU189" s="185"/>
      <c r="CV189" s="185"/>
      <c r="CW189" s="185"/>
      <c r="CX189" s="185"/>
      <c r="CY189" s="185"/>
    </row>
    <row r="190" spans="1:103">
      <c r="A190" s="153"/>
      <c r="B190" s="153"/>
      <c r="C190" s="183"/>
      <c r="E190" s="8"/>
      <c r="F190" s="17"/>
      <c r="G190" s="17"/>
      <c r="H190" s="17"/>
      <c r="I190" s="17"/>
      <c r="J190" s="17"/>
      <c r="K190" s="17"/>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c r="AS190" s="185"/>
      <c r="AT190" s="185"/>
      <c r="AU190" s="185"/>
      <c r="AV190" s="185"/>
      <c r="AW190" s="185"/>
      <c r="AX190" s="185"/>
      <c r="AY190" s="185"/>
      <c r="AZ190" s="185"/>
      <c r="BA190" s="185"/>
      <c r="BB190" s="185"/>
      <c r="BC190" s="185"/>
      <c r="BD190" s="185"/>
      <c r="BE190" s="185"/>
      <c r="BF190" s="185"/>
      <c r="BG190" s="185"/>
      <c r="BH190" s="185"/>
      <c r="BI190" s="185"/>
      <c r="BJ190" s="185"/>
      <c r="BK190" s="185"/>
      <c r="BL190" s="185"/>
      <c r="BM190" s="185"/>
      <c r="BN190" s="185"/>
      <c r="BO190" s="185"/>
      <c r="BP190" s="185"/>
      <c r="BQ190" s="185"/>
      <c r="BR190" s="185"/>
      <c r="BS190" s="185"/>
      <c r="BT190" s="185"/>
      <c r="BU190" s="185"/>
      <c r="BV190" s="185"/>
      <c r="BW190" s="185"/>
      <c r="BX190" s="185"/>
      <c r="BY190" s="185"/>
      <c r="BZ190" s="185"/>
      <c r="CA190" s="185"/>
      <c r="CB190" s="185"/>
      <c r="CC190" s="185"/>
      <c r="CD190" s="185"/>
      <c r="CE190" s="185"/>
      <c r="CF190" s="185"/>
      <c r="CG190" s="185"/>
      <c r="CH190" s="185"/>
      <c r="CI190" s="185"/>
      <c r="CJ190" s="185"/>
      <c r="CK190" s="185"/>
      <c r="CL190" s="185"/>
      <c r="CM190" s="185"/>
      <c r="CN190" s="185"/>
      <c r="CO190" s="185"/>
      <c r="CP190" s="185"/>
      <c r="CQ190" s="185"/>
      <c r="CR190" s="185"/>
      <c r="CS190" s="185"/>
      <c r="CT190" s="185"/>
      <c r="CU190" s="185"/>
      <c r="CV190" s="185"/>
      <c r="CW190" s="185"/>
      <c r="CX190" s="185"/>
      <c r="CY190" s="185"/>
    </row>
    <row r="191" spans="1:103">
      <c r="A191" s="153"/>
      <c r="B191" s="153"/>
      <c r="C191" s="183"/>
      <c r="E191" s="8"/>
      <c r="F191" s="17"/>
      <c r="G191" s="17"/>
      <c r="H191" s="17"/>
      <c r="I191" s="17"/>
      <c r="J191" s="17"/>
      <c r="K191" s="17"/>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c r="AS191" s="185"/>
      <c r="AT191" s="185"/>
      <c r="AU191" s="185"/>
      <c r="AV191" s="185"/>
      <c r="AW191" s="185"/>
      <c r="AX191" s="185"/>
      <c r="AY191" s="185"/>
      <c r="AZ191" s="185"/>
      <c r="BA191" s="185"/>
      <c r="BB191" s="185"/>
      <c r="BC191" s="185"/>
      <c r="BD191" s="185"/>
      <c r="BE191" s="185"/>
      <c r="BF191" s="185"/>
      <c r="BG191" s="185"/>
      <c r="BH191" s="185"/>
      <c r="BI191" s="185"/>
      <c r="BJ191" s="185"/>
      <c r="BK191" s="185"/>
      <c r="BL191" s="185"/>
      <c r="BM191" s="185"/>
      <c r="BN191" s="185"/>
      <c r="BO191" s="185"/>
      <c r="BP191" s="185"/>
      <c r="BQ191" s="185"/>
      <c r="BR191" s="185"/>
      <c r="BS191" s="185"/>
      <c r="BT191" s="185"/>
      <c r="BU191" s="185"/>
      <c r="BV191" s="185"/>
      <c r="BW191" s="185"/>
      <c r="BX191" s="185"/>
      <c r="BY191" s="185"/>
      <c r="BZ191" s="185"/>
      <c r="CA191" s="185"/>
      <c r="CB191" s="185"/>
      <c r="CC191" s="185"/>
      <c r="CD191" s="185"/>
      <c r="CE191" s="185"/>
      <c r="CF191" s="185"/>
      <c r="CG191" s="185"/>
      <c r="CH191" s="185"/>
      <c r="CI191" s="185"/>
      <c r="CJ191" s="185"/>
      <c r="CK191" s="185"/>
      <c r="CL191" s="185"/>
      <c r="CM191" s="185"/>
      <c r="CN191" s="185"/>
      <c r="CO191" s="185"/>
      <c r="CP191" s="185"/>
      <c r="CQ191" s="185"/>
      <c r="CR191" s="185"/>
      <c r="CS191" s="185"/>
      <c r="CT191" s="185"/>
      <c r="CU191" s="185"/>
      <c r="CV191" s="185"/>
      <c r="CW191" s="185"/>
      <c r="CX191" s="185"/>
      <c r="CY191" s="185"/>
    </row>
    <row r="192" spans="1:103">
      <c r="A192" s="153"/>
      <c r="B192" s="153"/>
      <c r="C192" s="183"/>
      <c r="E192" s="8"/>
      <c r="F192" s="17"/>
      <c r="G192" s="17"/>
      <c r="H192" s="17"/>
      <c r="I192" s="17"/>
      <c r="J192" s="17"/>
      <c r="K192" s="17"/>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5"/>
      <c r="BS192" s="185"/>
      <c r="BT192" s="185"/>
      <c r="BU192" s="185"/>
      <c r="BV192" s="185"/>
      <c r="BW192" s="185"/>
      <c r="BX192" s="185"/>
      <c r="BY192" s="185"/>
      <c r="BZ192" s="185"/>
      <c r="CA192" s="185"/>
      <c r="CB192" s="185"/>
      <c r="CC192" s="185"/>
      <c r="CD192" s="185"/>
      <c r="CE192" s="185"/>
      <c r="CF192" s="185"/>
      <c r="CG192" s="185"/>
      <c r="CH192" s="185"/>
      <c r="CI192" s="185"/>
      <c r="CJ192" s="185"/>
      <c r="CK192" s="185"/>
      <c r="CL192" s="185"/>
      <c r="CM192" s="185"/>
      <c r="CN192" s="185"/>
      <c r="CO192" s="185"/>
      <c r="CP192" s="185"/>
      <c r="CQ192" s="185"/>
      <c r="CR192" s="185"/>
      <c r="CS192" s="185"/>
      <c r="CT192" s="185"/>
      <c r="CU192" s="185"/>
      <c r="CV192" s="185"/>
      <c r="CW192" s="185"/>
      <c r="CX192" s="185"/>
      <c r="CY192" s="185"/>
    </row>
    <row r="193" spans="1:103">
      <c r="A193" s="153"/>
      <c r="B193" s="153"/>
      <c r="C193" s="183"/>
      <c r="E193" s="8"/>
      <c r="F193" s="17"/>
      <c r="G193" s="17"/>
      <c r="H193" s="17"/>
      <c r="I193" s="17"/>
      <c r="J193" s="17"/>
      <c r="K193" s="17"/>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c r="AS193" s="185"/>
      <c r="AT193" s="185"/>
      <c r="AU193" s="185"/>
      <c r="AV193" s="185"/>
      <c r="AW193" s="185"/>
      <c r="AX193" s="185"/>
      <c r="AY193" s="185"/>
      <c r="AZ193" s="185"/>
      <c r="BA193" s="185"/>
      <c r="BB193" s="185"/>
      <c r="BC193" s="185"/>
      <c r="BD193" s="185"/>
      <c r="BE193" s="185"/>
      <c r="BF193" s="185"/>
      <c r="BG193" s="185"/>
      <c r="BH193" s="185"/>
      <c r="BI193" s="185"/>
      <c r="BJ193" s="185"/>
      <c r="BK193" s="185"/>
      <c r="BL193" s="185"/>
      <c r="BM193" s="185"/>
      <c r="BN193" s="185"/>
      <c r="BO193" s="185"/>
      <c r="BP193" s="185"/>
      <c r="BQ193" s="185"/>
      <c r="BR193" s="185"/>
      <c r="BS193" s="185"/>
      <c r="BT193" s="185"/>
      <c r="BU193" s="185"/>
      <c r="BV193" s="185"/>
      <c r="BW193" s="185"/>
      <c r="BX193" s="185"/>
      <c r="BY193" s="185"/>
      <c r="BZ193" s="185"/>
      <c r="CA193" s="185"/>
      <c r="CB193" s="185"/>
      <c r="CC193" s="185"/>
      <c r="CD193" s="185"/>
      <c r="CE193" s="185"/>
      <c r="CF193" s="185"/>
      <c r="CG193" s="185"/>
      <c r="CH193" s="185"/>
      <c r="CI193" s="185"/>
      <c r="CJ193" s="185"/>
      <c r="CK193" s="185"/>
      <c r="CL193" s="185"/>
      <c r="CM193" s="185"/>
      <c r="CN193" s="185"/>
      <c r="CO193" s="185"/>
      <c r="CP193" s="185"/>
      <c r="CQ193" s="185"/>
      <c r="CR193" s="185"/>
      <c r="CS193" s="185"/>
      <c r="CT193" s="185"/>
      <c r="CU193" s="185"/>
      <c r="CV193" s="185"/>
      <c r="CW193" s="185"/>
      <c r="CX193" s="185"/>
      <c r="CY193" s="185"/>
    </row>
    <row r="194" spans="1:103">
      <c r="A194" s="153"/>
      <c r="B194" s="153"/>
      <c r="C194" s="183"/>
      <c r="E194" s="8"/>
      <c r="F194" s="17"/>
      <c r="G194" s="17"/>
      <c r="H194" s="17"/>
      <c r="I194" s="17"/>
      <c r="J194" s="17"/>
      <c r="K194" s="17"/>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c r="AS194" s="185"/>
      <c r="AT194" s="185"/>
      <c r="AU194" s="185"/>
      <c r="AV194" s="185"/>
      <c r="AW194" s="185"/>
      <c r="AX194" s="185"/>
      <c r="AY194" s="185"/>
      <c r="AZ194" s="185"/>
      <c r="BA194" s="185"/>
      <c r="BB194" s="185"/>
      <c r="BC194" s="185"/>
      <c r="BD194" s="185"/>
      <c r="BE194" s="185"/>
      <c r="BF194" s="185"/>
      <c r="BG194" s="185"/>
      <c r="BH194" s="185"/>
      <c r="BI194" s="185"/>
      <c r="BJ194" s="185"/>
      <c r="BK194" s="185"/>
      <c r="BL194" s="185"/>
      <c r="BM194" s="185"/>
      <c r="BN194" s="185"/>
      <c r="BO194" s="185"/>
      <c r="BP194" s="185"/>
      <c r="BQ194" s="185"/>
      <c r="BR194" s="185"/>
      <c r="BS194" s="185"/>
      <c r="BT194" s="185"/>
      <c r="BU194" s="185"/>
      <c r="BV194" s="185"/>
      <c r="BW194" s="185"/>
      <c r="BX194" s="185"/>
      <c r="BY194" s="185"/>
      <c r="BZ194" s="185"/>
      <c r="CA194" s="185"/>
      <c r="CB194" s="185"/>
      <c r="CC194" s="185"/>
      <c r="CD194" s="185"/>
      <c r="CE194" s="185"/>
      <c r="CF194" s="185"/>
      <c r="CG194" s="185"/>
      <c r="CH194" s="185"/>
      <c r="CI194" s="185"/>
      <c r="CJ194" s="185"/>
      <c r="CK194" s="185"/>
      <c r="CL194" s="185"/>
      <c r="CM194" s="185"/>
      <c r="CN194" s="185"/>
      <c r="CO194" s="185"/>
      <c r="CP194" s="185"/>
      <c r="CQ194" s="185"/>
      <c r="CR194" s="185"/>
      <c r="CS194" s="185"/>
      <c r="CT194" s="185"/>
      <c r="CU194" s="185"/>
      <c r="CV194" s="185"/>
      <c r="CW194" s="185"/>
      <c r="CX194" s="185"/>
      <c r="CY194" s="185"/>
    </row>
    <row r="195" spans="1:103">
      <c r="A195" s="153"/>
      <c r="B195" s="153"/>
      <c r="C195" s="183"/>
      <c r="E195" s="8"/>
      <c r="F195" s="17"/>
      <c r="G195" s="17"/>
      <c r="H195" s="17"/>
      <c r="I195" s="17"/>
      <c r="J195" s="17"/>
      <c r="K195" s="17"/>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c r="AS195" s="185"/>
      <c r="AT195" s="185"/>
      <c r="AU195" s="185"/>
      <c r="AV195" s="185"/>
      <c r="AW195" s="185"/>
      <c r="AX195" s="185"/>
      <c r="AY195" s="185"/>
      <c r="AZ195" s="185"/>
      <c r="BA195" s="185"/>
      <c r="BB195" s="185"/>
      <c r="BC195" s="185"/>
      <c r="BD195" s="185"/>
      <c r="BE195" s="185"/>
      <c r="BF195" s="185"/>
      <c r="BG195" s="185"/>
      <c r="BH195" s="185"/>
      <c r="BI195" s="185"/>
      <c r="BJ195" s="185"/>
      <c r="BK195" s="185"/>
      <c r="BL195" s="185"/>
      <c r="BM195" s="185"/>
      <c r="BN195" s="185"/>
      <c r="BO195" s="185"/>
      <c r="BP195" s="185"/>
      <c r="BQ195" s="185"/>
      <c r="BR195" s="185"/>
      <c r="BS195" s="185"/>
      <c r="BT195" s="185"/>
      <c r="BU195" s="185"/>
      <c r="BV195" s="185"/>
      <c r="BW195" s="185"/>
      <c r="BX195" s="185"/>
      <c r="BY195" s="185"/>
      <c r="BZ195" s="185"/>
      <c r="CA195" s="185"/>
      <c r="CB195" s="185"/>
      <c r="CC195" s="185"/>
      <c r="CD195" s="185"/>
      <c r="CE195" s="185"/>
      <c r="CF195" s="185"/>
      <c r="CG195" s="185"/>
      <c r="CH195" s="185"/>
      <c r="CI195" s="185"/>
      <c r="CJ195" s="185"/>
      <c r="CK195" s="185"/>
      <c r="CL195" s="185"/>
      <c r="CM195" s="185"/>
      <c r="CN195" s="185"/>
      <c r="CO195" s="185"/>
      <c r="CP195" s="185"/>
      <c r="CQ195" s="185"/>
      <c r="CR195" s="185"/>
      <c r="CS195" s="185"/>
      <c r="CT195" s="185"/>
      <c r="CU195" s="185"/>
      <c r="CV195" s="185"/>
      <c r="CW195" s="185"/>
      <c r="CX195" s="185"/>
      <c r="CY195" s="185"/>
    </row>
    <row r="196" spans="1:103">
      <c r="A196" s="153"/>
      <c r="B196" s="153"/>
      <c r="C196" s="183"/>
      <c r="E196" s="8"/>
      <c r="F196" s="17"/>
      <c r="G196" s="17"/>
      <c r="H196" s="17"/>
      <c r="I196" s="17"/>
      <c r="J196" s="17"/>
      <c r="K196" s="17"/>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c r="AS196" s="185"/>
      <c r="AT196" s="185"/>
      <c r="AU196" s="185"/>
      <c r="AV196" s="185"/>
      <c r="AW196" s="185"/>
      <c r="AX196" s="185"/>
      <c r="AY196" s="185"/>
      <c r="AZ196" s="185"/>
      <c r="BA196" s="185"/>
      <c r="BB196" s="185"/>
      <c r="BC196" s="185"/>
      <c r="BD196" s="185"/>
      <c r="BE196" s="185"/>
      <c r="BF196" s="185"/>
      <c r="BG196" s="185"/>
      <c r="BH196" s="185"/>
      <c r="BI196" s="185"/>
      <c r="BJ196" s="185"/>
      <c r="BK196" s="185"/>
      <c r="BL196" s="185"/>
      <c r="BM196" s="185"/>
      <c r="BN196" s="185"/>
      <c r="BO196" s="185"/>
      <c r="BP196" s="185"/>
      <c r="BQ196" s="185"/>
      <c r="BR196" s="185"/>
      <c r="BS196" s="185"/>
      <c r="BT196" s="185"/>
      <c r="BU196" s="185"/>
      <c r="BV196" s="185"/>
      <c r="BW196" s="185"/>
      <c r="BX196" s="185"/>
      <c r="BY196" s="185"/>
      <c r="BZ196" s="185"/>
      <c r="CA196" s="185"/>
      <c r="CB196" s="185"/>
      <c r="CC196" s="185"/>
      <c r="CD196" s="185"/>
      <c r="CE196" s="185"/>
      <c r="CF196" s="185"/>
      <c r="CG196" s="185"/>
      <c r="CH196" s="185"/>
      <c r="CI196" s="185"/>
      <c r="CJ196" s="185"/>
      <c r="CK196" s="185"/>
      <c r="CL196" s="185"/>
      <c r="CM196" s="185"/>
      <c r="CN196" s="185"/>
      <c r="CO196" s="185"/>
      <c r="CP196" s="185"/>
      <c r="CQ196" s="185"/>
      <c r="CR196" s="185"/>
      <c r="CS196" s="185"/>
      <c r="CT196" s="185"/>
      <c r="CU196" s="185"/>
      <c r="CV196" s="185"/>
      <c r="CW196" s="185"/>
      <c r="CX196" s="185"/>
      <c r="CY196" s="185"/>
    </row>
    <row r="197" spans="1:103">
      <c r="A197" s="153"/>
      <c r="B197" s="153"/>
      <c r="C197" s="183"/>
      <c r="E197" s="8"/>
      <c r="F197" s="17"/>
      <c r="G197" s="17"/>
      <c r="H197" s="17"/>
      <c r="I197" s="17"/>
      <c r="J197" s="17"/>
      <c r="K197" s="17"/>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c r="AS197" s="185"/>
      <c r="AT197" s="185"/>
      <c r="AU197" s="185"/>
      <c r="AV197" s="185"/>
      <c r="AW197" s="185"/>
      <c r="AX197" s="185"/>
      <c r="AY197" s="185"/>
      <c r="AZ197" s="185"/>
      <c r="BA197" s="185"/>
      <c r="BB197" s="185"/>
      <c r="BC197" s="185"/>
      <c r="BD197" s="185"/>
      <c r="BE197" s="185"/>
      <c r="BF197" s="185"/>
      <c r="BG197" s="185"/>
      <c r="BH197" s="185"/>
      <c r="BI197" s="185"/>
      <c r="BJ197" s="185"/>
      <c r="BK197" s="185"/>
      <c r="BL197" s="185"/>
      <c r="BM197" s="185"/>
      <c r="BN197" s="185"/>
      <c r="BO197" s="185"/>
      <c r="BP197" s="185"/>
      <c r="BQ197" s="185"/>
      <c r="BR197" s="185"/>
      <c r="BS197" s="185"/>
      <c r="BT197" s="185"/>
      <c r="BU197" s="185"/>
      <c r="BV197" s="185"/>
      <c r="BW197" s="185"/>
      <c r="BX197" s="185"/>
      <c r="BY197" s="185"/>
      <c r="BZ197" s="185"/>
      <c r="CA197" s="185"/>
      <c r="CB197" s="185"/>
      <c r="CC197" s="185"/>
      <c r="CD197" s="185"/>
      <c r="CE197" s="185"/>
      <c r="CF197" s="185"/>
      <c r="CG197" s="185"/>
      <c r="CH197" s="185"/>
      <c r="CI197" s="185"/>
      <c r="CJ197" s="185"/>
      <c r="CK197" s="185"/>
      <c r="CL197" s="185"/>
      <c r="CM197" s="185"/>
      <c r="CN197" s="185"/>
      <c r="CO197" s="185"/>
      <c r="CP197" s="185"/>
      <c r="CQ197" s="185"/>
      <c r="CR197" s="185"/>
      <c r="CS197" s="185"/>
      <c r="CT197" s="185"/>
      <c r="CU197" s="185"/>
      <c r="CV197" s="185"/>
      <c r="CW197" s="185"/>
      <c r="CX197" s="185"/>
      <c r="CY197" s="185"/>
    </row>
    <row r="198" spans="1:103">
      <c r="A198" s="153"/>
      <c r="B198" s="153"/>
      <c r="C198" s="183"/>
      <c r="E198" s="8"/>
      <c r="F198" s="17"/>
      <c r="G198" s="17"/>
      <c r="H198" s="17"/>
      <c r="I198" s="17"/>
      <c r="J198" s="17"/>
      <c r="K198" s="17"/>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c r="AS198" s="185"/>
      <c r="AT198" s="185"/>
      <c r="AU198" s="185"/>
      <c r="AV198" s="185"/>
      <c r="AW198" s="185"/>
      <c r="AX198" s="185"/>
      <c r="AY198" s="185"/>
      <c r="AZ198" s="185"/>
      <c r="BA198" s="185"/>
      <c r="BB198" s="185"/>
      <c r="BC198" s="185"/>
      <c r="BD198" s="185"/>
      <c r="BE198" s="185"/>
      <c r="BF198" s="185"/>
      <c r="BG198" s="185"/>
      <c r="BH198" s="185"/>
      <c r="BI198" s="185"/>
      <c r="BJ198" s="185"/>
      <c r="BK198" s="185"/>
      <c r="BL198" s="185"/>
      <c r="BM198" s="185"/>
      <c r="BN198" s="185"/>
      <c r="BO198" s="185"/>
      <c r="BP198" s="185"/>
      <c r="BQ198" s="185"/>
      <c r="BR198" s="185"/>
      <c r="BS198" s="185"/>
      <c r="BT198" s="185"/>
      <c r="BU198" s="185"/>
      <c r="BV198" s="185"/>
      <c r="BW198" s="185"/>
      <c r="BX198" s="185"/>
      <c r="BY198" s="185"/>
      <c r="BZ198" s="185"/>
      <c r="CA198" s="185"/>
      <c r="CB198" s="185"/>
      <c r="CC198" s="185"/>
      <c r="CD198" s="185"/>
      <c r="CE198" s="185"/>
      <c r="CF198" s="185"/>
      <c r="CG198" s="185"/>
      <c r="CH198" s="185"/>
      <c r="CI198" s="185"/>
      <c r="CJ198" s="185"/>
      <c r="CK198" s="185"/>
      <c r="CL198" s="185"/>
      <c r="CM198" s="185"/>
      <c r="CN198" s="185"/>
      <c r="CO198" s="185"/>
      <c r="CP198" s="185"/>
      <c r="CQ198" s="185"/>
      <c r="CR198" s="185"/>
      <c r="CS198" s="185"/>
      <c r="CT198" s="185"/>
      <c r="CU198" s="185"/>
      <c r="CV198" s="185"/>
      <c r="CW198" s="185"/>
      <c r="CX198" s="185"/>
      <c r="CY198" s="185"/>
    </row>
    <row r="199" spans="1:103">
      <c r="C199" s="8"/>
      <c r="E199" s="8"/>
      <c r="F199" s="17"/>
      <c r="G199" s="17"/>
      <c r="H199" s="17"/>
      <c r="I199" s="17"/>
      <c r="J199" s="17"/>
      <c r="K199" s="17"/>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c r="AS199" s="185"/>
      <c r="AT199" s="185"/>
      <c r="AU199" s="185"/>
      <c r="AV199" s="185"/>
      <c r="AW199" s="185"/>
      <c r="AX199" s="185"/>
      <c r="AY199" s="185"/>
      <c r="AZ199" s="185"/>
      <c r="BA199" s="185"/>
      <c r="BB199" s="185"/>
      <c r="BC199" s="185"/>
      <c r="BD199" s="185"/>
      <c r="BE199" s="185"/>
      <c r="BF199" s="185"/>
      <c r="BG199" s="185"/>
      <c r="BH199" s="185"/>
      <c r="BI199" s="185"/>
      <c r="BJ199" s="185"/>
      <c r="BK199" s="185"/>
      <c r="BL199" s="185"/>
      <c r="BM199" s="185"/>
      <c r="BN199" s="185"/>
      <c r="BO199" s="185"/>
      <c r="BP199" s="185"/>
      <c r="BQ199" s="185"/>
      <c r="BR199" s="185"/>
      <c r="BS199" s="185"/>
      <c r="BT199" s="185"/>
      <c r="BU199" s="185"/>
      <c r="BV199" s="185"/>
      <c r="BW199" s="185"/>
      <c r="BX199" s="185"/>
      <c r="BY199" s="185"/>
      <c r="BZ199" s="185"/>
      <c r="CA199" s="185"/>
      <c r="CB199" s="185"/>
      <c r="CC199" s="185"/>
      <c r="CD199" s="185"/>
      <c r="CE199" s="185"/>
      <c r="CF199" s="185"/>
      <c r="CG199" s="185"/>
      <c r="CH199" s="185"/>
      <c r="CI199" s="185"/>
      <c r="CJ199" s="185"/>
      <c r="CK199" s="185"/>
      <c r="CL199" s="185"/>
      <c r="CM199" s="185"/>
      <c r="CN199" s="185"/>
      <c r="CO199" s="185"/>
      <c r="CP199" s="185"/>
      <c r="CQ199" s="185"/>
      <c r="CR199" s="185"/>
      <c r="CS199" s="185"/>
      <c r="CT199" s="185"/>
      <c r="CU199" s="185"/>
      <c r="CV199" s="185"/>
      <c r="CW199" s="185"/>
      <c r="CX199" s="185"/>
      <c r="CY199" s="185"/>
    </row>
    <row r="200" spans="1:103">
      <c r="C200" s="8"/>
      <c r="E200" s="8"/>
      <c r="F200" s="17"/>
      <c r="G200" s="17"/>
      <c r="H200" s="17"/>
      <c r="I200" s="17"/>
      <c r="J200" s="17"/>
      <c r="K200" s="17"/>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c r="AS200" s="185"/>
      <c r="AT200" s="185"/>
      <c r="AU200" s="185"/>
      <c r="AV200" s="185"/>
      <c r="AW200" s="185"/>
      <c r="AX200" s="185"/>
      <c r="AY200" s="185"/>
      <c r="AZ200" s="185"/>
      <c r="BA200" s="185"/>
      <c r="BB200" s="185"/>
      <c r="BC200" s="185"/>
      <c r="BD200" s="185"/>
      <c r="BE200" s="185"/>
      <c r="BF200" s="185"/>
      <c r="BG200" s="185"/>
      <c r="BH200" s="185"/>
      <c r="BI200" s="185"/>
      <c r="BJ200" s="185"/>
      <c r="BK200" s="185"/>
      <c r="BL200" s="185"/>
      <c r="BM200" s="185"/>
      <c r="BN200" s="185"/>
      <c r="BO200" s="185"/>
      <c r="BP200" s="185"/>
      <c r="BQ200" s="185"/>
      <c r="BR200" s="185"/>
      <c r="BS200" s="185"/>
      <c r="BT200" s="185"/>
      <c r="BU200" s="185"/>
      <c r="BV200" s="185"/>
      <c r="BW200" s="185"/>
      <c r="BX200" s="185"/>
      <c r="BY200" s="185"/>
      <c r="BZ200" s="185"/>
      <c r="CA200" s="185"/>
      <c r="CB200" s="185"/>
      <c r="CC200" s="185"/>
      <c r="CD200" s="185"/>
      <c r="CE200" s="185"/>
      <c r="CF200" s="185"/>
      <c r="CG200" s="185"/>
      <c r="CH200" s="185"/>
      <c r="CI200" s="185"/>
      <c r="CJ200" s="185"/>
      <c r="CK200" s="185"/>
      <c r="CL200" s="185"/>
      <c r="CM200" s="185"/>
      <c r="CN200" s="185"/>
      <c r="CO200" s="185"/>
      <c r="CP200" s="185"/>
      <c r="CQ200" s="185"/>
      <c r="CR200" s="185"/>
      <c r="CS200" s="185"/>
      <c r="CT200" s="185"/>
      <c r="CU200" s="185"/>
      <c r="CV200" s="185"/>
      <c r="CW200" s="185"/>
      <c r="CX200" s="185"/>
      <c r="CY200" s="185"/>
    </row>
    <row r="201" spans="1:103">
      <c r="A201" s="153"/>
      <c r="C201" s="8"/>
      <c r="E201" s="8"/>
      <c r="F201" s="17"/>
      <c r="G201" s="17"/>
      <c r="H201" s="17"/>
      <c r="I201" s="17"/>
      <c r="J201" s="17"/>
      <c r="K201" s="17"/>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c r="AS201" s="185"/>
      <c r="AT201" s="185"/>
      <c r="AU201" s="185"/>
      <c r="AV201" s="185"/>
      <c r="AW201" s="185"/>
      <c r="AX201" s="185"/>
      <c r="AY201" s="185"/>
      <c r="AZ201" s="185"/>
      <c r="BA201" s="185"/>
      <c r="BB201" s="185"/>
      <c r="BC201" s="185"/>
      <c r="BD201" s="185"/>
      <c r="BE201" s="185"/>
      <c r="BF201" s="185"/>
      <c r="BG201" s="185"/>
      <c r="BH201" s="185"/>
      <c r="BI201" s="185"/>
      <c r="BJ201" s="185"/>
      <c r="BK201" s="185"/>
      <c r="BL201" s="185"/>
      <c r="BM201" s="185"/>
      <c r="BN201" s="185"/>
      <c r="BO201" s="185"/>
      <c r="BP201" s="185"/>
      <c r="BQ201" s="185"/>
      <c r="BR201" s="185"/>
      <c r="BS201" s="185"/>
      <c r="BT201" s="185"/>
      <c r="BU201" s="185"/>
      <c r="BV201" s="185"/>
      <c r="BW201" s="185"/>
      <c r="BX201" s="185"/>
      <c r="BY201" s="185"/>
      <c r="BZ201" s="185"/>
      <c r="CA201" s="185"/>
      <c r="CB201" s="185"/>
      <c r="CC201" s="185"/>
      <c r="CD201" s="185"/>
      <c r="CE201" s="185"/>
      <c r="CF201" s="185"/>
      <c r="CG201" s="185"/>
      <c r="CH201" s="185"/>
      <c r="CI201" s="185"/>
      <c r="CJ201" s="185"/>
      <c r="CK201" s="185"/>
      <c r="CL201" s="185"/>
      <c r="CM201" s="185"/>
      <c r="CN201" s="185"/>
      <c r="CO201" s="185"/>
      <c r="CP201" s="185"/>
      <c r="CQ201" s="185"/>
      <c r="CR201" s="185"/>
      <c r="CS201" s="185"/>
      <c r="CT201" s="185"/>
      <c r="CU201" s="185"/>
      <c r="CV201" s="185"/>
      <c r="CW201" s="185"/>
      <c r="CX201" s="185"/>
      <c r="CY201" s="185"/>
    </row>
    <row r="202" spans="1:103">
      <c r="C202" s="8"/>
      <c r="E202" s="8"/>
      <c r="F202" s="17"/>
      <c r="G202" s="17"/>
      <c r="H202" s="17"/>
      <c r="I202" s="17"/>
      <c r="J202" s="17"/>
      <c r="K202" s="17"/>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c r="AS202" s="185"/>
      <c r="AT202" s="185"/>
      <c r="AU202" s="185"/>
      <c r="AV202" s="185"/>
      <c r="AW202" s="185"/>
      <c r="AX202" s="185"/>
      <c r="AY202" s="185"/>
      <c r="AZ202" s="185"/>
      <c r="BA202" s="185"/>
      <c r="BB202" s="185"/>
      <c r="BC202" s="185"/>
      <c r="BD202" s="185"/>
      <c r="BE202" s="185"/>
      <c r="BF202" s="185"/>
      <c r="BG202" s="185"/>
      <c r="BH202" s="185"/>
      <c r="BI202" s="185"/>
      <c r="BJ202" s="185"/>
      <c r="BK202" s="185"/>
      <c r="BL202" s="185"/>
      <c r="BM202" s="185"/>
      <c r="BN202" s="185"/>
      <c r="BO202" s="185"/>
      <c r="BP202" s="185"/>
      <c r="BQ202" s="185"/>
      <c r="BR202" s="185"/>
      <c r="BS202" s="185"/>
      <c r="BT202" s="185"/>
      <c r="BU202" s="185"/>
      <c r="BV202" s="185"/>
      <c r="BW202" s="185"/>
      <c r="BX202" s="185"/>
      <c r="BY202" s="185"/>
      <c r="BZ202" s="185"/>
      <c r="CA202" s="185"/>
      <c r="CB202" s="185"/>
      <c r="CC202" s="185"/>
      <c r="CD202" s="185"/>
      <c r="CE202" s="185"/>
      <c r="CF202" s="185"/>
      <c r="CG202" s="185"/>
      <c r="CH202" s="185"/>
      <c r="CI202" s="185"/>
      <c r="CJ202" s="185"/>
      <c r="CK202" s="185"/>
      <c r="CL202" s="185"/>
      <c r="CM202" s="185"/>
      <c r="CN202" s="185"/>
      <c r="CO202" s="185"/>
      <c r="CP202" s="185"/>
      <c r="CQ202" s="185"/>
      <c r="CR202" s="185"/>
      <c r="CS202" s="185"/>
      <c r="CT202" s="185"/>
      <c r="CU202" s="185"/>
      <c r="CV202" s="185"/>
      <c r="CW202" s="185"/>
      <c r="CX202" s="185"/>
      <c r="CY202" s="185"/>
    </row>
    <row r="203" spans="1:103">
      <c r="C203" s="8"/>
      <c r="E203" s="8"/>
      <c r="F203" s="17"/>
      <c r="G203" s="17"/>
      <c r="H203" s="17"/>
      <c r="I203" s="17"/>
      <c r="J203" s="17"/>
      <c r="K203" s="17"/>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c r="AS203" s="185"/>
      <c r="AT203" s="185"/>
      <c r="AU203" s="185"/>
      <c r="AV203" s="185"/>
      <c r="AW203" s="185"/>
      <c r="AX203" s="185"/>
      <c r="AY203" s="185"/>
      <c r="AZ203" s="185"/>
      <c r="BA203" s="185"/>
      <c r="BB203" s="185"/>
      <c r="BC203" s="185"/>
      <c r="BD203" s="185"/>
      <c r="BE203" s="185"/>
      <c r="BF203" s="185"/>
      <c r="BG203" s="185"/>
      <c r="BH203" s="185"/>
      <c r="BI203" s="185"/>
      <c r="BJ203" s="185"/>
      <c r="BK203" s="185"/>
      <c r="BL203" s="185"/>
      <c r="BM203" s="185"/>
      <c r="BN203" s="185"/>
      <c r="BO203" s="185"/>
      <c r="BP203" s="185"/>
      <c r="BQ203" s="185"/>
      <c r="BR203" s="185"/>
      <c r="BS203" s="185"/>
      <c r="BT203" s="185"/>
      <c r="BU203" s="185"/>
      <c r="BV203" s="185"/>
      <c r="BW203" s="185"/>
      <c r="BX203" s="185"/>
      <c r="BY203" s="185"/>
      <c r="BZ203" s="185"/>
      <c r="CA203" s="185"/>
      <c r="CB203" s="185"/>
      <c r="CC203" s="185"/>
      <c r="CD203" s="185"/>
      <c r="CE203" s="185"/>
      <c r="CF203" s="185"/>
      <c r="CG203" s="185"/>
      <c r="CH203" s="185"/>
      <c r="CI203" s="185"/>
      <c r="CJ203" s="185"/>
      <c r="CK203" s="185"/>
      <c r="CL203" s="185"/>
      <c r="CM203" s="185"/>
      <c r="CN203" s="185"/>
      <c r="CO203" s="185"/>
      <c r="CP203" s="185"/>
      <c r="CQ203" s="185"/>
      <c r="CR203" s="185"/>
      <c r="CS203" s="185"/>
      <c r="CT203" s="185"/>
      <c r="CU203" s="185"/>
      <c r="CV203" s="185"/>
      <c r="CW203" s="185"/>
      <c r="CX203" s="185"/>
      <c r="CY203" s="185"/>
    </row>
    <row r="204" spans="1:103">
      <c r="C204" s="8"/>
      <c r="E204" s="8"/>
      <c r="F204" s="17"/>
      <c r="G204" s="17"/>
      <c r="H204" s="17"/>
      <c r="I204" s="17"/>
      <c r="J204" s="17"/>
      <c r="K204" s="17"/>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c r="AS204" s="185"/>
      <c r="AT204" s="185"/>
      <c r="AU204" s="185"/>
      <c r="AV204" s="185"/>
      <c r="AW204" s="185"/>
      <c r="AX204" s="185"/>
      <c r="AY204" s="185"/>
      <c r="AZ204" s="185"/>
      <c r="BA204" s="185"/>
      <c r="BB204" s="185"/>
      <c r="BC204" s="185"/>
      <c r="BD204" s="185"/>
      <c r="BE204" s="185"/>
      <c r="BF204" s="185"/>
      <c r="BG204" s="185"/>
      <c r="BH204" s="185"/>
      <c r="BI204" s="185"/>
      <c r="BJ204" s="185"/>
      <c r="BK204" s="185"/>
      <c r="BL204" s="185"/>
      <c r="BM204" s="185"/>
      <c r="BN204" s="185"/>
      <c r="BO204" s="185"/>
      <c r="BP204" s="185"/>
      <c r="BQ204" s="185"/>
      <c r="BR204" s="185"/>
      <c r="BS204" s="185"/>
      <c r="BT204" s="185"/>
      <c r="BU204" s="185"/>
      <c r="BV204" s="185"/>
      <c r="BW204" s="185"/>
      <c r="BX204" s="185"/>
      <c r="BY204" s="185"/>
      <c r="BZ204" s="185"/>
      <c r="CA204" s="185"/>
      <c r="CB204" s="185"/>
      <c r="CC204" s="185"/>
      <c r="CD204" s="185"/>
      <c r="CE204" s="185"/>
      <c r="CF204" s="185"/>
      <c r="CG204" s="185"/>
      <c r="CH204" s="185"/>
      <c r="CI204" s="185"/>
      <c r="CJ204" s="185"/>
      <c r="CK204" s="185"/>
      <c r="CL204" s="185"/>
      <c r="CM204" s="185"/>
      <c r="CN204" s="185"/>
      <c r="CO204" s="185"/>
      <c r="CP204" s="185"/>
      <c r="CQ204" s="185"/>
      <c r="CR204" s="185"/>
      <c r="CS204" s="185"/>
      <c r="CT204" s="185"/>
      <c r="CU204" s="185"/>
      <c r="CV204" s="185"/>
      <c r="CW204" s="185"/>
      <c r="CX204" s="185"/>
      <c r="CY204" s="185"/>
    </row>
  </sheetData>
  <mergeCells count="29">
    <mergeCell ref="EF2:EK2"/>
    <mergeCell ref="FD2:FI2"/>
    <mergeCell ref="CI2:CN2"/>
    <mergeCell ref="DH2:DM2"/>
    <mergeCell ref="BV2:CA2"/>
    <mergeCell ref="CV2:DA2"/>
    <mergeCell ref="DT2:DY2"/>
    <mergeCell ref="ER2:EW2"/>
    <mergeCell ref="B88:B89"/>
    <mergeCell ref="BJ2:BO2"/>
    <mergeCell ref="H3:K3"/>
    <mergeCell ref="Q3:T3"/>
    <mergeCell ref="Z3:AD3"/>
    <mergeCell ref="AJ3:AN3"/>
    <mergeCell ref="AY2:BD2"/>
    <mergeCell ref="AS3:AT3"/>
    <mergeCell ref="F87:F89"/>
    <mergeCell ref="G87:G89"/>
    <mergeCell ref="H87:H89"/>
    <mergeCell ref="I87:I89"/>
    <mergeCell ref="J87:J89"/>
    <mergeCell ref="Q87:Q89"/>
    <mergeCell ref="R87:R89"/>
    <mergeCell ref="S87:S89"/>
    <mergeCell ref="K87:K89"/>
    <mergeCell ref="L87:L89"/>
    <mergeCell ref="M87:M89"/>
    <mergeCell ref="O87:O89"/>
    <mergeCell ref="P87:P89"/>
  </mergeCells>
  <phoneticPr fontId="6" type="noConversion"/>
  <pageMargins left="0.75" right="0.75" top="1" bottom="1" header="0.5" footer="0.5"/>
  <pageSetup orientation="portrait" r:id="rId1"/>
  <headerFooter alignWithMargins="0"/>
  <ignoredErrors>
    <ignoredError sqref="AO7:AP7" formula="1"/>
  </ignoredErrors>
</worksheet>
</file>

<file path=xl/worksheets/sheet3.xml><?xml version="1.0" encoding="utf-8"?>
<worksheet xmlns="http://schemas.openxmlformats.org/spreadsheetml/2006/main" xmlns:r="http://schemas.openxmlformats.org/officeDocument/2006/relationships">
  <dimension ref="A1:U106"/>
  <sheetViews>
    <sheetView topLeftCell="B1" zoomScale="70" zoomScaleNormal="70" workbookViewId="0">
      <pane ySplit="3" topLeftCell="A40" activePane="bottomLeft" state="frozen"/>
      <selection pane="bottomLeft" activeCell="I85" sqref="I85"/>
    </sheetView>
  </sheetViews>
  <sheetFormatPr defaultRowHeight="12.75" outlineLevelCol="1"/>
  <cols>
    <col min="1" max="1" width="17.140625" style="22" customWidth="1" outlineLevel="1"/>
    <col min="2" max="2" width="18.42578125" style="28" customWidth="1" outlineLevel="1"/>
    <col min="3" max="3" width="33.42578125" style="8" bestFit="1" customWidth="1"/>
    <col min="4" max="4" width="9.42578125" style="8" customWidth="1"/>
    <col min="5" max="5" width="1.5703125" customWidth="1"/>
    <col min="6" max="6" width="9.85546875" style="477" customWidth="1"/>
    <col min="7" max="9" width="9.85546875" customWidth="1"/>
    <col min="10" max="10" width="10" customWidth="1"/>
    <col min="11" max="11" width="11" customWidth="1"/>
    <col min="12" max="12" width="9.7109375" customWidth="1"/>
    <col min="13" max="13" width="8.85546875" customWidth="1"/>
    <col min="14" max="14" width="12" customWidth="1"/>
    <col min="15" max="15" width="1.5703125" customWidth="1"/>
    <col min="16" max="16" width="10.85546875" style="299" customWidth="1"/>
    <col min="18" max="18" width="12.5703125" bestFit="1" customWidth="1"/>
    <col min="19" max="19" width="14.42578125" bestFit="1" customWidth="1"/>
    <col min="20" max="20" width="12.5703125" bestFit="1" customWidth="1"/>
    <col min="21" max="21" width="14.42578125" bestFit="1" customWidth="1"/>
  </cols>
  <sheetData>
    <row r="1" spans="1:21" ht="13.5" thickBot="1"/>
    <row r="2" spans="1:21" ht="13.5" thickBot="1">
      <c r="P2" s="1176" t="s">
        <v>1210</v>
      </c>
      <c r="Q2" s="1176"/>
      <c r="R2" s="1177" t="s">
        <v>1212</v>
      </c>
      <c r="S2" s="1178"/>
      <c r="T2" s="1179" t="s">
        <v>1211</v>
      </c>
      <c r="U2" s="1180"/>
    </row>
    <row r="3" spans="1:21" s="180" customFormat="1" ht="36.75" customHeight="1" thickBot="1">
      <c r="A3" s="287" t="s">
        <v>384</v>
      </c>
      <c r="B3" s="288" t="s">
        <v>103</v>
      </c>
      <c r="C3" s="286" t="s">
        <v>104</v>
      </c>
      <c r="D3" s="400" t="s">
        <v>198</v>
      </c>
      <c r="F3" s="283" t="s">
        <v>633</v>
      </c>
      <c r="G3" s="279" t="s">
        <v>174</v>
      </c>
      <c r="H3" s="279" t="s">
        <v>100</v>
      </c>
      <c r="I3" s="284" t="s">
        <v>634</v>
      </c>
      <c r="J3" s="279" t="s">
        <v>175</v>
      </c>
      <c r="K3" s="285" t="s">
        <v>100</v>
      </c>
      <c r="L3" s="284" t="s">
        <v>635</v>
      </c>
      <c r="M3" s="279" t="s">
        <v>176</v>
      </c>
      <c r="N3" s="411" t="s">
        <v>100</v>
      </c>
      <c r="O3" s="498"/>
      <c r="P3" s="828" t="s">
        <v>772</v>
      </c>
      <c r="Q3" s="829" t="s">
        <v>773</v>
      </c>
      <c r="R3" s="826" t="s">
        <v>770</v>
      </c>
      <c r="S3" s="826" t="s">
        <v>771</v>
      </c>
      <c r="T3" s="827" t="s">
        <v>770</v>
      </c>
      <c r="U3" s="827" t="s">
        <v>771</v>
      </c>
    </row>
    <row r="4" spans="1:21" s="9" customFormat="1">
      <c r="A4" s="186" t="s">
        <v>147</v>
      </c>
      <c r="B4" s="186" t="s">
        <v>148</v>
      </c>
      <c r="C4" s="187" t="s">
        <v>105</v>
      </c>
      <c r="D4" s="252">
        <v>1</v>
      </c>
      <c r="E4" s="326"/>
      <c r="F4" s="154">
        <v>10</v>
      </c>
      <c r="G4" s="154" t="s">
        <v>648</v>
      </c>
      <c r="H4" s="154" t="s">
        <v>327</v>
      </c>
      <c r="I4" s="253" t="s">
        <v>327</v>
      </c>
      <c r="J4" s="254"/>
      <c r="K4" s="463"/>
      <c r="L4" s="156"/>
      <c r="M4" s="481"/>
      <c r="N4" s="252"/>
      <c r="O4" s="291" t="s">
        <v>327</v>
      </c>
      <c r="P4" s="499">
        <f>MIN(F4,I4,L4)</f>
        <v>10</v>
      </c>
      <c r="Q4" s="500">
        <f>MAX(F4,I4,L4)</f>
        <v>10</v>
      </c>
      <c r="R4" s="500">
        <f t="shared" ref="R4:R31" si="0">AVERAGE(F4,I4,L4)</f>
        <v>10</v>
      </c>
      <c r="S4" s="500">
        <f t="shared" ref="S4:S31" si="1">AVERAGE(F4,I4,L4)</f>
        <v>10</v>
      </c>
      <c r="T4" s="500">
        <f t="shared" ref="T4:T31" si="2">AVERAGE(F4,I4,L4)</f>
        <v>10</v>
      </c>
      <c r="U4" s="500">
        <f t="shared" ref="U4:U31" si="3">AVERAGE(F4,I4,L4)</f>
        <v>10</v>
      </c>
    </row>
    <row r="5" spans="1:21" s="8" customFormat="1">
      <c r="A5" s="204" t="s">
        <v>147</v>
      </c>
      <c r="B5" s="204" t="s">
        <v>148</v>
      </c>
      <c r="C5" s="205" t="s">
        <v>106</v>
      </c>
      <c r="D5" s="206">
        <f>D4+1</f>
        <v>2</v>
      </c>
      <c r="E5" s="327"/>
      <c r="F5" s="219">
        <v>5</v>
      </c>
      <c r="G5" s="219" t="s">
        <v>352</v>
      </c>
      <c r="H5" s="219" t="s">
        <v>327</v>
      </c>
      <c r="I5" s="218"/>
      <c r="J5" s="219"/>
      <c r="K5" s="461"/>
      <c r="L5" s="479"/>
      <c r="M5" s="479"/>
      <c r="N5" s="206"/>
      <c r="O5" s="410" t="s">
        <v>327</v>
      </c>
      <c r="P5" s="501">
        <f t="shared" ref="P5:P68" si="4">MIN(F5,I5,L5)</f>
        <v>5</v>
      </c>
      <c r="Q5" s="493">
        <f t="shared" ref="Q5:Q68" si="5">MAX(F5,I5,L5)</f>
        <v>5</v>
      </c>
      <c r="R5" s="493">
        <f t="shared" si="0"/>
        <v>5</v>
      </c>
      <c r="S5" s="493">
        <f t="shared" si="1"/>
        <v>5</v>
      </c>
      <c r="T5" s="493">
        <f t="shared" si="2"/>
        <v>5</v>
      </c>
      <c r="U5" s="493">
        <f t="shared" si="3"/>
        <v>5</v>
      </c>
    </row>
    <row r="6" spans="1:21" s="8" customFormat="1">
      <c r="A6" s="186" t="s">
        <v>147</v>
      </c>
      <c r="B6" s="186" t="s">
        <v>148</v>
      </c>
      <c r="C6" s="187" t="s">
        <v>107</v>
      </c>
      <c r="D6" s="188">
        <f t="shared" ref="D6:D69" si="6">D5+1</f>
        <v>3</v>
      </c>
      <c r="E6" s="327"/>
      <c r="F6" s="154">
        <v>5</v>
      </c>
      <c r="G6" s="154" t="s">
        <v>352</v>
      </c>
      <c r="H6" s="154" t="s">
        <v>327</v>
      </c>
      <c r="I6" s="200"/>
      <c r="J6" s="154"/>
      <c r="K6" s="376"/>
      <c r="L6" s="481"/>
      <c r="M6" s="481"/>
      <c r="N6" s="188"/>
      <c r="O6" s="410" t="s">
        <v>327</v>
      </c>
      <c r="P6" s="502">
        <f t="shared" si="4"/>
        <v>5</v>
      </c>
      <c r="Q6" s="494">
        <f t="shared" si="5"/>
        <v>5</v>
      </c>
      <c r="R6" s="494">
        <f t="shared" si="0"/>
        <v>5</v>
      </c>
      <c r="S6" s="494">
        <f t="shared" si="1"/>
        <v>5</v>
      </c>
      <c r="T6" s="494">
        <f t="shared" si="2"/>
        <v>5</v>
      </c>
      <c r="U6" s="494">
        <f t="shared" si="3"/>
        <v>5</v>
      </c>
    </row>
    <row r="7" spans="1:21" s="8" customFormat="1">
      <c r="A7" s="204" t="s">
        <v>147</v>
      </c>
      <c r="B7" s="204" t="s">
        <v>149</v>
      </c>
      <c r="C7" s="205" t="s">
        <v>108</v>
      </c>
      <c r="D7" s="206">
        <f t="shared" si="6"/>
        <v>4</v>
      </c>
      <c r="E7" s="327"/>
      <c r="F7" s="219">
        <v>10</v>
      </c>
      <c r="G7" s="219" t="s">
        <v>352</v>
      </c>
      <c r="H7" s="219" t="s">
        <v>327</v>
      </c>
      <c r="I7" s="218"/>
      <c r="J7" s="219"/>
      <c r="K7" s="461"/>
      <c r="L7" s="479"/>
      <c r="M7" s="479"/>
      <c r="N7" s="206"/>
      <c r="O7" s="410" t="s">
        <v>327</v>
      </c>
      <c r="P7" s="501">
        <f t="shared" si="4"/>
        <v>10</v>
      </c>
      <c r="Q7" s="493">
        <f t="shared" si="5"/>
        <v>10</v>
      </c>
      <c r="R7" s="493">
        <f t="shared" si="0"/>
        <v>10</v>
      </c>
      <c r="S7" s="493">
        <f t="shared" si="1"/>
        <v>10</v>
      </c>
      <c r="T7" s="493">
        <f t="shared" si="2"/>
        <v>10</v>
      </c>
      <c r="U7" s="493">
        <f t="shared" si="3"/>
        <v>10</v>
      </c>
    </row>
    <row r="8" spans="1:21" s="8" customFormat="1">
      <c r="A8" s="186" t="s">
        <v>147</v>
      </c>
      <c r="B8" s="186" t="s">
        <v>149</v>
      </c>
      <c r="C8" s="187" t="s">
        <v>109</v>
      </c>
      <c r="D8" s="188">
        <f t="shared" si="6"/>
        <v>5</v>
      </c>
      <c r="E8" s="327"/>
      <c r="F8" s="154">
        <v>6</v>
      </c>
      <c r="G8" s="154" t="s">
        <v>649</v>
      </c>
      <c r="H8" s="154" t="s">
        <v>831</v>
      </c>
      <c r="I8" s="200" t="s">
        <v>327</v>
      </c>
      <c r="J8" s="154"/>
      <c r="K8" s="376"/>
      <c r="L8" s="156"/>
      <c r="M8" s="481"/>
      <c r="N8" s="188"/>
      <c r="O8" s="410" t="s">
        <v>327</v>
      </c>
      <c r="P8" s="502">
        <f t="shared" si="4"/>
        <v>6</v>
      </c>
      <c r="Q8" s="494">
        <f t="shared" si="5"/>
        <v>6</v>
      </c>
      <c r="R8" s="494">
        <f t="shared" si="0"/>
        <v>6</v>
      </c>
      <c r="S8" s="494">
        <f t="shared" si="1"/>
        <v>6</v>
      </c>
      <c r="T8" s="494">
        <f t="shared" si="2"/>
        <v>6</v>
      </c>
      <c r="U8" s="494">
        <f t="shared" si="3"/>
        <v>6</v>
      </c>
    </row>
    <row r="9" spans="1:21" s="8" customFormat="1" ht="12.75" customHeight="1">
      <c r="A9" s="204" t="s">
        <v>147</v>
      </c>
      <c r="B9" s="204" t="s">
        <v>150</v>
      </c>
      <c r="C9" s="205" t="s">
        <v>99</v>
      </c>
      <c r="D9" s="206">
        <f t="shared" si="6"/>
        <v>6</v>
      </c>
      <c r="E9" s="327"/>
      <c r="F9" s="219">
        <v>4</v>
      </c>
      <c r="G9" s="219" t="s">
        <v>644</v>
      </c>
      <c r="H9" s="219" t="s">
        <v>370</v>
      </c>
      <c r="I9" s="218">
        <v>4</v>
      </c>
      <c r="J9" s="219" t="s">
        <v>652</v>
      </c>
      <c r="K9" s="461" t="s">
        <v>830</v>
      </c>
      <c r="L9" s="479">
        <v>4</v>
      </c>
      <c r="M9" s="479" t="s">
        <v>651</v>
      </c>
      <c r="N9" s="206" t="s">
        <v>183</v>
      </c>
      <c r="O9" s="410" t="s">
        <v>327</v>
      </c>
      <c r="P9" s="501">
        <f t="shared" si="4"/>
        <v>4</v>
      </c>
      <c r="Q9" s="493">
        <f t="shared" si="5"/>
        <v>4</v>
      </c>
      <c r="R9" s="493">
        <f t="shared" si="0"/>
        <v>4</v>
      </c>
      <c r="S9" s="493">
        <f t="shared" si="1"/>
        <v>4</v>
      </c>
      <c r="T9" s="493">
        <f t="shared" si="2"/>
        <v>4</v>
      </c>
      <c r="U9" s="493">
        <f t="shared" si="3"/>
        <v>4</v>
      </c>
    </row>
    <row r="10" spans="1:21" s="8" customFormat="1">
      <c r="A10" s="186" t="s">
        <v>147</v>
      </c>
      <c r="B10" s="186" t="s">
        <v>150</v>
      </c>
      <c r="C10" s="187" t="s">
        <v>222</v>
      </c>
      <c r="D10" s="188">
        <f t="shared" si="6"/>
        <v>7</v>
      </c>
      <c r="E10" s="327"/>
      <c r="F10" s="154">
        <v>4</v>
      </c>
      <c r="G10" s="154" t="s">
        <v>651</v>
      </c>
      <c r="H10" s="154" t="s">
        <v>650</v>
      </c>
      <c r="I10" s="200">
        <v>4</v>
      </c>
      <c r="J10" s="154" t="s">
        <v>652</v>
      </c>
      <c r="K10" s="376" t="s">
        <v>830</v>
      </c>
      <c r="L10" s="481">
        <v>6</v>
      </c>
      <c r="M10" s="481" t="s">
        <v>653</v>
      </c>
      <c r="N10" s="188" t="s">
        <v>371</v>
      </c>
      <c r="O10" s="410" t="s">
        <v>327</v>
      </c>
      <c r="P10" s="502">
        <f t="shared" si="4"/>
        <v>4</v>
      </c>
      <c r="Q10" s="494">
        <f t="shared" si="5"/>
        <v>6</v>
      </c>
      <c r="R10" s="494">
        <f t="shared" si="0"/>
        <v>4.666666666666667</v>
      </c>
      <c r="S10" s="494">
        <f t="shared" si="1"/>
        <v>4.666666666666667</v>
      </c>
      <c r="T10" s="494">
        <f t="shared" si="2"/>
        <v>4.666666666666667</v>
      </c>
      <c r="U10" s="494">
        <f t="shared" si="3"/>
        <v>4.666666666666667</v>
      </c>
    </row>
    <row r="11" spans="1:21" s="8" customFormat="1">
      <c r="A11" s="204" t="s">
        <v>147</v>
      </c>
      <c r="B11" s="204" t="s">
        <v>150</v>
      </c>
      <c r="C11" s="205" t="s">
        <v>296</v>
      </c>
      <c r="D11" s="206">
        <f t="shared" si="6"/>
        <v>8</v>
      </c>
      <c r="E11" s="327"/>
      <c r="F11" s="219">
        <v>4</v>
      </c>
      <c r="G11" s="219" t="s">
        <v>651</v>
      </c>
      <c r="H11" s="219" t="s">
        <v>650</v>
      </c>
      <c r="I11" s="218">
        <v>4</v>
      </c>
      <c r="J11" s="219" t="s">
        <v>652</v>
      </c>
      <c r="K11" s="461" t="s">
        <v>830</v>
      </c>
      <c r="L11" s="479">
        <v>4</v>
      </c>
      <c r="M11" s="479" t="s">
        <v>653</v>
      </c>
      <c r="N11" s="523" t="s">
        <v>372</v>
      </c>
      <c r="O11" s="410" t="s">
        <v>327</v>
      </c>
      <c r="P11" s="501">
        <f t="shared" si="4"/>
        <v>4</v>
      </c>
      <c r="Q11" s="493">
        <f t="shared" si="5"/>
        <v>4</v>
      </c>
      <c r="R11" s="493">
        <f t="shared" si="0"/>
        <v>4</v>
      </c>
      <c r="S11" s="493">
        <f t="shared" si="1"/>
        <v>4</v>
      </c>
      <c r="T11" s="493">
        <f t="shared" si="2"/>
        <v>4</v>
      </c>
      <c r="U11" s="493">
        <f t="shared" si="3"/>
        <v>4</v>
      </c>
    </row>
    <row r="12" spans="1:21" s="8" customFormat="1">
      <c r="A12" s="256" t="s">
        <v>147</v>
      </c>
      <c r="B12" s="256" t="s">
        <v>150</v>
      </c>
      <c r="C12" s="257" t="s">
        <v>223</v>
      </c>
      <c r="D12" s="258">
        <f t="shared" si="6"/>
        <v>9</v>
      </c>
      <c r="E12" s="327"/>
      <c r="F12" s="267">
        <v>4</v>
      </c>
      <c r="G12" s="268" t="s">
        <v>652</v>
      </c>
      <c r="H12" s="268" t="s">
        <v>830</v>
      </c>
      <c r="I12" s="267" t="s">
        <v>327</v>
      </c>
      <c r="J12" s="268"/>
      <c r="K12" s="464"/>
      <c r="L12" s="422"/>
      <c r="M12" s="519"/>
      <c r="N12" s="258"/>
      <c r="O12" s="410" t="s">
        <v>327</v>
      </c>
      <c r="P12" s="503">
        <f>MIN(F12,I12,L12)</f>
        <v>4</v>
      </c>
      <c r="Q12" s="495">
        <f>MAX(F12,I12,L12)</f>
        <v>4</v>
      </c>
      <c r="R12" s="495">
        <f t="shared" si="0"/>
        <v>4</v>
      </c>
      <c r="S12" s="495">
        <f t="shared" si="1"/>
        <v>4</v>
      </c>
      <c r="T12" s="495">
        <f t="shared" si="2"/>
        <v>4</v>
      </c>
      <c r="U12" s="495">
        <f t="shared" si="3"/>
        <v>4</v>
      </c>
    </row>
    <row r="13" spans="1:21" s="8" customFormat="1" ht="12.75" customHeight="1">
      <c r="A13" s="204" t="s">
        <v>152</v>
      </c>
      <c r="B13" s="204" t="s">
        <v>151</v>
      </c>
      <c r="C13" s="205" t="s">
        <v>224</v>
      </c>
      <c r="D13" s="206">
        <f t="shared" si="6"/>
        <v>10</v>
      </c>
      <c r="E13" s="327"/>
      <c r="F13" s="219">
        <v>4</v>
      </c>
      <c r="G13" s="219" t="s">
        <v>652</v>
      </c>
      <c r="H13" s="461" t="s">
        <v>827</v>
      </c>
      <c r="I13" s="218">
        <v>4.9000000000000004</v>
      </c>
      <c r="J13" s="219" t="s">
        <v>652</v>
      </c>
      <c r="K13" s="461" t="s">
        <v>828</v>
      </c>
      <c r="L13" s="479" t="s">
        <v>327</v>
      </c>
      <c r="M13" s="479"/>
      <c r="N13" s="206"/>
      <c r="O13" s="410" t="s">
        <v>327</v>
      </c>
      <c r="P13" s="501">
        <f t="shared" si="4"/>
        <v>4</v>
      </c>
      <c r="Q13" s="493">
        <f t="shared" si="5"/>
        <v>4.9000000000000004</v>
      </c>
      <c r="R13" s="493">
        <f t="shared" si="0"/>
        <v>4.45</v>
      </c>
      <c r="S13" s="493">
        <f t="shared" si="1"/>
        <v>4.45</v>
      </c>
      <c r="T13" s="493">
        <f t="shared" si="2"/>
        <v>4.45</v>
      </c>
      <c r="U13" s="493">
        <f t="shared" si="3"/>
        <v>4.45</v>
      </c>
    </row>
    <row r="14" spans="1:21" s="8" customFormat="1">
      <c r="A14" s="186" t="s">
        <v>152</v>
      </c>
      <c r="B14" s="186" t="s">
        <v>151</v>
      </c>
      <c r="C14" s="187" t="s">
        <v>153</v>
      </c>
      <c r="D14" s="188">
        <f t="shared" si="6"/>
        <v>11</v>
      </c>
      <c r="E14" s="327"/>
      <c r="F14" s="154">
        <v>4</v>
      </c>
      <c r="G14" s="154" t="s">
        <v>652</v>
      </c>
      <c r="H14" s="154" t="s">
        <v>827</v>
      </c>
      <c r="I14" s="200">
        <v>4</v>
      </c>
      <c r="J14" s="154" t="s">
        <v>649</v>
      </c>
      <c r="K14" s="376" t="s">
        <v>383</v>
      </c>
      <c r="L14" s="481">
        <v>3</v>
      </c>
      <c r="M14" s="481" t="s">
        <v>387</v>
      </c>
      <c r="N14" s="188" t="s">
        <v>327</v>
      </c>
      <c r="O14" s="410" t="s">
        <v>327</v>
      </c>
      <c r="P14" s="502">
        <f t="shared" si="4"/>
        <v>3</v>
      </c>
      <c r="Q14" s="494">
        <f t="shared" si="5"/>
        <v>4</v>
      </c>
      <c r="R14" s="494">
        <f t="shared" si="0"/>
        <v>3.6666666666666665</v>
      </c>
      <c r="S14" s="494">
        <f t="shared" si="1"/>
        <v>3.6666666666666665</v>
      </c>
      <c r="T14" s="494">
        <f t="shared" si="2"/>
        <v>3.6666666666666665</v>
      </c>
      <c r="U14" s="494">
        <f t="shared" si="3"/>
        <v>3.6666666666666665</v>
      </c>
    </row>
    <row r="15" spans="1:21" s="8" customFormat="1">
      <c r="A15" s="204" t="s">
        <v>152</v>
      </c>
      <c r="B15" s="204" t="s">
        <v>151</v>
      </c>
      <c r="C15" s="205" t="s">
        <v>154</v>
      </c>
      <c r="D15" s="206">
        <f t="shared" si="6"/>
        <v>12</v>
      </c>
      <c r="E15" s="327"/>
      <c r="F15" s="219">
        <v>4</v>
      </c>
      <c r="G15" s="219" t="s">
        <v>649</v>
      </c>
      <c r="H15" s="219" t="s">
        <v>833</v>
      </c>
      <c r="I15" s="218">
        <v>4</v>
      </c>
      <c r="J15" s="219" t="s">
        <v>652</v>
      </c>
      <c r="K15" s="461" t="s">
        <v>827</v>
      </c>
      <c r="L15" s="479">
        <v>3</v>
      </c>
      <c r="M15" s="479" t="s">
        <v>387</v>
      </c>
      <c r="N15" s="206" t="s">
        <v>327</v>
      </c>
      <c r="O15" s="410" t="s">
        <v>327</v>
      </c>
      <c r="P15" s="501">
        <f t="shared" si="4"/>
        <v>3</v>
      </c>
      <c r="Q15" s="493">
        <f t="shared" si="5"/>
        <v>4</v>
      </c>
      <c r="R15" s="493">
        <f t="shared" si="0"/>
        <v>3.6666666666666665</v>
      </c>
      <c r="S15" s="493">
        <f t="shared" si="1"/>
        <v>3.6666666666666665</v>
      </c>
      <c r="T15" s="493">
        <f t="shared" si="2"/>
        <v>3.6666666666666665</v>
      </c>
      <c r="U15" s="493">
        <f t="shared" si="3"/>
        <v>3.6666666666666665</v>
      </c>
    </row>
    <row r="16" spans="1:21" s="8" customFormat="1">
      <c r="A16" s="186" t="s">
        <v>152</v>
      </c>
      <c r="B16" s="186" t="s">
        <v>151</v>
      </c>
      <c r="C16" s="187" t="s">
        <v>847</v>
      </c>
      <c r="D16" s="188">
        <f t="shared" si="6"/>
        <v>13</v>
      </c>
      <c r="E16" s="327"/>
      <c r="F16" s="154">
        <v>4</v>
      </c>
      <c r="G16" s="154" t="s">
        <v>652</v>
      </c>
      <c r="H16" s="154" t="s">
        <v>827</v>
      </c>
      <c r="I16" s="200" t="s">
        <v>327</v>
      </c>
      <c r="J16" s="154"/>
      <c r="K16" s="376"/>
      <c r="L16" s="156"/>
      <c r="M16" s="481"/>
      <c r="N16" s="188"/>
      <c r="O16" s="410"/>
      <c r="P16" s="502">
        <f>MIN(F16,I16,L16)</f>
        <v>4</v>
      </c>
      <c r="Q16" s="494">
        <f>MAX(F16,I16,L16)</f>
        <v>4</v>
      </c>
      <c r="R16" s="494">
        <f t="shared" si="0"/>
        <v>4</v>
      </c>
      <c r="S16" s="494">
        <f t="shared" si="1"/>
        <v>4</v>
      </c>
      <c r="T16" s="494">
        <f t="shared" si="2"/>
        <v>4</v>
      </c>
      <c r="U16" s="494">
        <f t="shared" si="3"/>
        <v>4</v>
      </c>
    </row>
    <row r="17" spans="1:21" s="8" customFormat="1" ht="12.75" customHeight="1">
      <c r="A17" s="204" t="s">
        <v>152</v>
      </c>
      <c r="B17" s="204" t="s">
        <v>155</v>
      </c>
      <c r="C17" s="205" t="s">
        <v>146</v>
      </c>
      <c r="D17" s="206">
        <f t="shared" si="6"/>
        <v>14</v>
      </c>
      <c r="E17" s="327"/>
      <c r="F17" s="219">
        <v>5</v>
      </c>
      <c r="G17" s="219" t="s">
        <v>352</v>
      </c>
      <c r="H17" s="219" t="s">
        <v>327</v>
      </c>
      <c r="I17" s="218"/>
      <c r="J17" s="219"/>
      <c r="K17" s="461"/>
      <c r="L17" s="479"/>
      <c r="M17" s="479"/>
      <c r="N17" s="206"/>
      <c r="O17" s="410" t="s">
        <v>327</v>
      </c>
      <c r="P17" s="501">
        <f t="shared" si="4"/>
        <v>5</v>
      </c>
      <c r="Q17" s="493">
        <f t="shared" si="5"/>
        <v>5</v>
      </c>
      <c r="R17" s="493">
        <f t="shared" si="0"/>
        <v>5</v>
      </c>
      <c r="S17" s="493">
        <f t="shared" si="1"/>
        <v>5</v>
      </c>
      <c r="T17" s="493">
        <f t="shared" si="2"/>
        <v>5</v>
      </c>
      <c r="U17" s="493">
        <f t="shared" si="3"/>
        <v>5</v>
      </c>
    </row>
    <row r="18" spans="1:21" s="8" customFormat="1">
      <c r="A18" s="186" t="s">
        <v>152</v>
      </c>
      <c r="B18" s="186" t="s">
        <v>155</v>
      </c>
      <c r="C18" s="187" t="s">
        <v>145</v>
      </c>
      <c r="D18" s="188">
        <f t="shared" si="6"/>
        <v>15</v>
      </c>
      <c r="E18" s="327"/>
      <c r="F18" s="154">
        <v>6</v>
      </c>
      <c r="G18" s="154" t="s">
        <v>352</v>
      </c>
      <c r="H18" s="154" t="s">
        <v>327</v>
      </c>
      <c r="I18" s="200"/>
      <c r="J18" s="154"/>
      <c r="K18" s="376"/>
      <c r="L18" s="481"/>
      <c r="M18" s="481"/>
      <c r="N18" s="188"/>
      <c r="O18" s="410" t="s">
        <v>327</v>
      </c>
      <c r="P18" s="502">
        <f t="shared" si="4"/>
        <v>6</v>
      </c>
      <c r="Q18" s="494">
        <f t="shared" si="5"/>
        <v>6</v>
      </c>
      <c r="R18" s="494">
        <f t="shared" si="0"/>
        <v>6</v>
      </c>
      <c r="S18" s="494">
        <f t="shared" si="1"/>
        <v>6</v>
      </c>
      <c r="T18" s="494">
        <f t="shared" si="2"/>
        <v>6</v>
      </c>
      <c r="U18" s="494">
        <f t="shared" si="3"/>
        <v>6</v>
      </c>
    </row>
    <row r="19" spans="1:21" s="8" customFormat="1">
      <c r="A19" s="204" t="s">
        <v>152</v>
      </c>
      <c r="B19" s="204" t="s">
        <v>155</v>
      </c>
      <c r="C19" s="205" t="s">
        <v>110</v>
      </c>
      <c r="D19" s="206">
        <f t="shared" si="6"/>
        <v>16</v>
      </c>
      <c r="E19" s="327"/>
      <c r="F19" s="219">
        <v>7.3</v>
      </c>
      <c r="G19" s="219" t="s">
        <v>652</v>
      </c>
      <c r="H19" s="219" t="s">
        <v>824</v>
      </c>
      <c r="I19" s="218" t="s">
        <v>327</v>
      </c>
      <c r="J19" s="219"/>
      <c r="K19" s="461"/>
      <c r="L19" s="479"/>
      <c r="M19" s="479"/>
      <c r="N19" s="206"/>
      <c r="O19" s="410" t="s">
        <v>327</v>
      </c>
      <c r="P19" s="501">
        <f t="shared" si="4"/>
        <v>7.3</v>
      </c>
      <c r="Q19" s="493">
        <f t="shared" si="5"/>
        <v>7.3</v>
      </c>
      <c r="R19" s="493">
        <f t="shared" si="0"/>
        <v>7.3</v>
      </c>
      <c r="S19" s="493">
        <f t="shared" si="1"/>
        <v>7.3</v>
      </c>
      <c r="T19" s="493">
        <f t="shared" si="2"/>
        <v>7.3</v>
      </c>
      <c r="U19" s="493">
        <f t="shared" si="3"/>
        <v>7.3</v>
      </c>
    </row>
    <row r="20" spans="1:21" s="8" customFormat="1">
      <c r="A20" s="186" t="s">
        <v>152</v>
      </c>
      <c r="B20" s="186" t="s">
        <v>155</v>
      </c>
      <c r="C20" s="187" t="s">
        <v>777</v>
      </c>
      <c r="D20" s="188">
        <f t="shared" si="6"/>
        <v>17</v>
      </c>
      <c r="E20" s="327"/>
      <c r="F20" s="154">
        <v>4</v>
      </c>
      <c r="G20" s="154" t="s">
        <v>649</v>
      </c>
      <c r="H20" s="154" t="s">
        <v>327</v>
      </c>
      <c r="I20" s="200"/>
      <c r="J20" s="154"/>
      <c r="K20" s="376"/>
      <c r="L20" s="156"/>
      <c r="M20" s="481"/>
      <c r="N20" s="188"/>
      <c r="O20" s="410" t="s">
        <v>327</v>
      </c>
      <c r="P20" s="502">
        <f>MIN(F20,I20,L20)</f>
        <v>4</v>
      </c>
      <c r="Q20" s="494">
        <f>MAX(F20,I20,L20)</f>
        <v>4</v>
      </c>
      <c r="R20" s="494">
        <f t="shared" si="0"/>
        <v>4</v>
      </c>
      <c r="S20" s="494">
        <f t="shared" si="1"/>
        <v>4</v>
      </c>
      <c r="T20" s="494">
        <f t="shared" si="2"/>
        <v>4</v>
      </c>
      <c r="U20" s="494">
        <f t="shared" si="3"/>
        <v>4</v>
      </c>
    </row>
    <row r="21" spans="1:21" s="8" customFormat="1" ht="12.75" customHeight="1">
      <c r="A21" s="204" t="s">
        <v>152</v>
      </c>
      <c r="B21" s="204" t="s">
        <v>156</v>
      </c>
      <c r="C21" s="205" t="s">
        <v>225</v>
      </c>
      <c r="D21" s="206">
        <f t="shared" si="6"/>
        <v>18</v>
      </c>
      <c r="E21" s="327"/>
      <c r="F21" s="219">
        <v>4</v>
      </c>
      <c r="G21" s="219" t="s">
        <v>180</v>
      </c>
      <c r="H21" s="219" t="s">
        <v>327</v>
      </c>
      <c r="I21" s="218"/>
      <c r="J21" s="219"/>
      <c r="K21" s="461"/>
      <c r="L21" s="479"/>
      <c r="M21" s="479"/>
      <c r="N21" s="206"/>
      <c r="O21" s="410" t="s">
        <v>327</v>
      </c>
      <c r="P21" s="501">
        <f t="shared" si="4"/>
        <v>4</v>
      </c>
      <c r="Q21" s="493">
        <f t="shared" si="5"/>
        <v>4</v>
      </c>
      <c r="R21" s="493">
        <f t="shared" si="0"/>
        <v>4</v>
      </c>
      <c r="S21" s="493">
        <f t="shared" si="1"/>
        <v>4</v>
      </c>
      <c r="T21" s="493">
        <f t="shared" si="2"/>
        <v>4</v>
      </c>
      <c r="U21" s="493">
        <f t="shared" si="3"/>
        <v>4</v>
      </c>
    </row>
    <row r="22" spans="1:21" s="8" customFormat="1">
      <c r="A22" s="186" t="s">
        <v>152</v>
      </c>
      <c r="B22" s="186" t="s">
        <v>156</v>
      </c>
      <c r="C22" s="187" t="s">
        <v>111</v>
      </c>
      <c r="D22" s="188">
        <f t="shared" si="6"/>
        <v>19</v>
      </c>
      <c r="E22" s="327"/>
      <c r="F22" s="154">
        <v>6.8</v>
      </c>
      <c r="G22" s="154" t="s">
        <v>652</v>
      </c>
      <c r="H22" s="154" t="s">
        <v>829</v>
      </c>
      <c r="I22" s="200" t="s">
        <v>327</v>
      </c>
      <c r="J22" s="154"/>
      <c r="K22" s="376"/>
      <c r="L22" s="156"/>
      <c r="M22" s="481"/>
      <c r="N22" s="188"/>
      <c r="O22" s="410" t="s">
        <v>327</v>
      </c>
      <c r="P22" s="502">
        <f t="shared" si="4"/>
        <v>6.8</v>
      </c>
      <c r="Q22" s="494">
        <f t="shared" si="5"/>
        <v>6.8</v>
      </c>
      <c r="R22" s="494">
        <f t="shared" si="0"/>
        <v>6.8</v>
      </c>
      <c r="S22" s="494">
        <f t="shared" si="1"/>
        <v>6.8</v>
      </c>
      <c r="T22" s="494">
        <f t="shared" si="2"/>
        <v>6.8</v>
      </c>
      <c r="U22" s="494">
        <f t="shared" si="3"/>
        <v>6.8</v>
      </c>
    </row>
    <row r="23" spans="1:21" s="8" customFormat="1">
      <c r="A23" s="204" t="s">
        <v>152</v>
      </c>
      <c r="B23" s="204" t="s">
        <v>156</v>
      </c>
      <c r="C23" s="205" t="s">
        <v>455</v>
      </c>
      <c r="D23" s="206">
        <f t="shared" si="6"/>
        <v>20</v>
      </c>
      <c r="E23" s="327"/>
      <c r="F23" s="219">
        <v>5</v>
      </c>
      <c r="G23" s="219" t="s">
        <v>649</v>
      </c>
      <c r="H23" s="219" t="s">
        <v>327</v>
      </c>
      <c r="I23" s="218"/>
      <c r="J23" s="219"/>
      <c r="K23" s="461"/>
      <c r="L23" s="479"/>
      <c r="M23" s="479"/>
      <c r="N23" s="206"/>
      <c r="O23" s="410" t="s">
        <v>327</v>
      </c>
      <c r="P23" s="501">
        <f t="shared" si="4"/>
        <v>5</v>
      </c>
      <c r="Q23" s="493">
        <f t="shared" si="5"/>
        <v>5</v>
      </c>
      <c r="R23" s="493">
        <f t="shared" si="0"/>
        <v>5</v>
      </c>
      <c r="S23" s="493">
        <f t="shared" si="1"/>
        <v>5</v>
      </c>
      <c r="T23" s="493">
        <f t="shared" si="2"/>
        <v>5</v>
      </c>
      <c r="U23" s="493">
        <f t="shared" si="3"/>
        <v>5</v>
      </c>
    </row>
    <row r="24" spans="1:21" s="8" customFormat="1">
      <c r="A24" s="186" t="s">
        <v>152</v>
      </c>
      <c r="B24" s="186" t="s">
        <v>156</v>
      </c>
      <c r="C24" s="187" t="s">
        <v>112</v>
      </c>
      <c r="D24" s="188">
        <f t="shared" si="6"/>
        <v>21</v>
      </c>
      <c r="E24" s="327"/>
      <c r="F24" s="154">
        <v>5</v>
      </c>
      <c r="G24" s="154" t="s">
        <v>374</v>
      </c>
      <c r="H24" s="154" t="s">
        <v>327</v>
      </c>
      <c r="I24" s="200"/>
      <c r="J24" s="154"/>
      <c r="K24" s="376"/>
      <c r="L24" s="481"/>
      <c r="M24" s="481"/>
      <c r="N24" s="188"/>
      <c r="O24" s="410" t="s">
        <v>327</v>
      </c>
      <c r="P24" s="502">
        <f t="shared" si="4"/>
        <v>5</v>
      </c>
      <c r="Q24" s="494">
        <f t="shared" si="5"/>
        <v>5</v>
      </c>
      <c r="R24" s="494">
        <f t="shared" si="0"/>
        <v>5</v>
      </c>
      <c r="S24" s="494">
        <f t="shared" si="1"/>
        <v>5</v>
      </c>
      <c r="T24" s="494">
        <f t="shared" si="2"/>
        <v>5</v>
      </c>
      <c r="U24" s="494">
        <f t="shared" si="3"/>
        <v>5</v>
      </c>
    </row>
    <row r="25" spans="1:21" s="8" customFormat="1">
      <c r="A25" s="204" t="s">
        <v>152</v>
      </c>
      <c r="B25" s="204" t="s">
        <v>157</v>
      </c>
      <c r="C25" s="205" t="s">
        <v>113</v>
      </c>
      <c r="D25" s="206">
        <f t="shared" si="6"/>
        <v>22</v>
      </c>
      <c r="E25" s="327"/>
      <c r="F25" s="219">
        <v>4.9000000000000004</v>
      </c>
      <c r="G25" s="219" t="s">
        <v>652</v>
      </c>
      <c r="H25" s="219" t="s">
        <v>828</v>
      </c>
      <c r="I25" s="218" t="s">
        <v>327</v>
      </c>
      <c r="J25" s="219"/>
      <c r="K25" s="461"/>
      <c r="L25" s="479"/>
      <c r="M25" s="479"/>
      <c r="N25" s="206"/>
      <c r="O25" s="410" t="s">
        <v>327</v>
      </c>
      <c r="P25" s="501">
        <f t="shared" si="4"/>
        <v>4.9000000000000004</v>
      </c>
      <c r="Q25" s="493">
        <f t="shared" si="5"/>
        <v>4.9000000000000004</v>
      </c>
      <c r="R25" s="493">
        <f t="shared" si="0"/>
        <v>4.9000000000000004</v>
      </c>
      <c r="S25" s="493">
        <f t="shared" si="1"/>
        <v>4.9000000000000004</v>
      </c>
      <c r="T25" s="493">
        <f t="shared" si="2"/>
        <v>4.9000000000000004</v>
      </c>
      <c r="U25" s="493">
        <f t="shared" si="3"/>
        <v>4.9000000000000004</v>
      </c>
    </row>
    <row r="26" spans="1:21" s="8" customFormat="1">
      <c r="A26" s="186" t="s">
        <v>152</v>
      </c>
      <c r="B26" s="186" t="s">
        <v>158</v>
      </c>
      <c r="C26" s="187" t="s">
        <v>784</v>
      </c>
      <c r="D26" s="188">
        <f t="shared" si="6"/>
        <v>23</v>
      </c>
      <c r="E26" s="327"/>
      <c r="F26" s="154">
        <v>4</v>
      </c>
      <c r="G26" s="154" t="s">
        <v>652</v>
      </c>
      <c r="H26" s="154" t="s">
        <v>827</v>
      </c>
      <c r="I26" s="200">
        <v>4.9000000000000004</v>
      </c>
      <c r="J26" s="154" t="s">
        <v>652</v>
      </c>
      <c r="K26" s="376" t="s">
        <v>828</v>
      </c>
      <c r="L26" s="156">
        <v>2</v>
      </c>
      <c r="M26" s="481" t="s">
        <v>649</v>
      </c>
      <c r="N26" s="522" t="s">
        <v>811</v>
      </c>
      <c r="O26" s="410" t="s">
        <v>327</v>
      </c>
      <c r="P26" s="502">
        <f t="shared" si="4"/>
        <v>2</v>
      </c>
      <c r="Q26" s="494">
        <f t="shared" si="5"/>
        <v>4.9000000000000004</v>
      </c>
      <c r="R26" s="494">
        <f t="shared" si="0"/>
        <v>3.6333333333333333</v>
      </c>
      <c r="S26" s="494">
        <f t="shared" si="1"/>
        <v>3.6333333333333333</v>
      </c>
      <c r="T26" s="494">
        <f t="shared" si="2"/>
        <v>3.6333333333333333</v>
      </c>
      <c r="U26" s="494">
        <f t="shared" si="3"/>
        <v>3.6333333333333333</v>
      </c>
    </row>
    <row r="27" spans="1:21" s="8" customFormat="1">
      <c r="A27" s="223" t="s">
        <v>152</v>
      </c>
      <c r="B27" s="223" t="s">
        <v>158</v>
      </c>
      <c r="C27" s="224" t="s">
        <v>114</v>
      </c>
      <c r="D27" s="225">
        <f t="shared" si="6"/>
        <v>24</v>
      </c>
      <c r="E27" s="327"/>
      <c r="F27" s="232">
        <v>4</v>
      </c>
      <c r="G27" s="233" t="s">
        <v>649</v>
      </c>
      <c r="H27" s="233" t="s">
        <v>327</v>
      </c>
      <c r="I27" s="232"/>
      <c r="J27" s="233"/>
      <c r="K27" s="462"/>
      <c r="L27" s="484"/>
      <c r="M27" s="484"/>
      <c r="N27" s="225"/>
      <c r="O27" s="410" t="s">
        <v>327</v>
      </c>
      <c r="P27" s="504">
        <f t="shared" si="4"/>
        <v>4</v>
      </c>
      <c r="Q27" s="496">
        <f t="shared" si="5"/>
        <v>4</v>
      </c>
      <c r="R27" s="496">
        <f t="shared" si="0"/>
        <v>4</v>
      </c>
      <c r="S27" s="496">
        <f t="shared" si="1"/>
        <v>4</v>
      </c>
      <c r="T27" s="496">
        <f t="shared" si="2"/>
        <v>4</v>
      </c>
      <c r="U27" s="496">
        <f t="shared" si="3"/>
        <v>4</v>
      </c>
    </row>
    <row r="28" spans="1:21" s="8" customFormat="1">
      <c r="A28" s="186" t="s">
        <v>163</v>
      </c>
      <c r="B28" s="186" t="s">
        <v>159</v>
      </c>
      <c r="C28" s="187" t="s">
        <v>115</v>
      </c>
      <c r="D28" s="188">
        <f t="shared" si="6"/>
        <v>25</v>
      </c>
      <c r="E28" s="327"/>
      <c r="F28" s="154">
        <v>4.9000000000000004</v>
      </c>
      <c r="G28" s="154" t="s">
        <v>652</v>
      </c>
      <c r="H28" s="154" t="s">
        <v>828</v>
      </c>
      <c r="I28" s="200" t="s">
        <v>327</v>
      </c>
      <c r="J28" s="154"/>
      <c r="K28" s="376"/>
      <c r="L28" s="481"/>
      <c r="M28" s="481"/>
      <c r="N28" s="188"/>
      <c r="O28" s="410" t="s">
        <v>327</v>
      </c>
      <c r="P28" s="502">
        <f t="shared" si="4"/>
        <v>4.9000000000000004</v>
      </c>
      <c r="Q28" s="494">
        <f t="shared" si="5"/>
        <v>4.9000000000000004</v>
      </c>
      <c r="R28" s="494">
        <f t="shared" si="0"/>
        <v>4.9000000000000004</v>
      </c>
      <c r="S28" s="494">
        <f t="shared" si="1"/>
        <v>4.9000000000000004</v>
      </c>
      <c r="T28" s="494">
        <f t="shared" si="2"/>
        <v>4.9000000000000004</v>
      </c>
      <c r="U28" s="494">
        <f t="shared" si="3"/>
        <v>4.9000000000000004</v>
      </c>
    </row>
    <row r="29" spans="1:21" s="8" customFormat="1">
      <c r="A29" s="223" t="s">
        <v>163</v>
      </c>
      <c r="B29" s="223" t="s">
        <v>159</v>
      </c>
      <c r="C29" s="224" t="s">
        <v>116</v>
      </c>
      <c r="D29" s="225">
        <f t="shared" si="6"/>
        <v>26</v>
      </c>
      <c r="E29" s="327"/>
      <c r="F29" s="219">
        <v>4.9000000000000004</v>
      </c>
      <c r="G29" s="219" t="s">
        <v>652</v>
      </c>
      <c r="H29" s="219" t="s">
        <v>828</v>
      </c>
      <c r="I29" s="218" t="s">
        <v>327</v>
      </c>
      <c r="J29" s="219"/>
      <c r="K29" s="461"/>
      <c r="L29" s="479"/>
      <c r="M29" s="479"/>
      <c r="N29" s="206"/>
      <c r="O29" s="410" t="s">
        <v>327</v>
      </c>
      <c r="P29" s="501">
        <f t="shared" si="4"/>
        <v>4.9000000000000004</v>
      </c>
      <c r="Q29" s="493">
        <f t="shared" si="5"/>
        <v>4.9000000000000004</v>
      </c>
      <c r="R29" s="493">
        <f t="shared" si="0"/>
        <v>4.9000000000000004</v>
      </c>
      <c r="S29" s="493">
        <f t="shared" si="1"/>
        <v>4.9000000000000004</v>
      </c>
      <c r="T29" s="493">
        <f t="shared" si="2"/>
        <v>4.9000000000000004</v>
      </c>
      <c r="U29" s="493">
        <f t="shared" si="3"/>
        <v>4.9000000000000004</v>
      </c>
    </row>
    <row r="30" spans="1:21" s="8" customFormat="1">
      <c r="A30" s="186" t="s">
        <v>162</v>
      </c>
      <c r="B30" s="186" t="s">
        <v>160</v>
      </c>
      <c r="C30" s="187" t="s">
        <v>117</v>
      </c>
      <c r="D30" s="188">
        <f t="shared" si="6"/>
        <v>27</v>
      </c>
      <c r="E30" s="327"/>
      <c r="F30" s="253">
        <v>5</v>
      </c>
      <c r="G30" s="254" t="s">
        <v>352</v>
      </c>
      <c r="H30" s="254" t="s">
        <v>327</v>
      </c>
      <c r="I30" s="253"/>
      <c r="J30" s="254"/>
      <c r="K30" s="463"/>
      <c r="L30" s="291"/>
      <c r="M30" s="526"/>
      <c r="N30" s="252"/>
      <c r="O30" s="410" t="s">
        <v>327</v>
      </c>
      <c r="P30" s="527">
        <f t="shared" si="4"/>
        <v>5</v>
      </c>
      <c r="Q30" s="528">
        <f t="shared" si="5"/>
        <v>5</v>
      </c>
      <c r="R30" s="528">
        <f t="shared" si="0"/>
        <v>5</v>
      </c>
      <c r="S30" s="528">
        <f t="shared" si="1"/>
        <v>5</v>
      </c>
      <c r="T30" s="528">
        <f t="shared" si="2"/>
        <v>5</v>
      </c>
      <c r="U30" s="528">
        <f t="shared" si="3"/>
        <v>5</v>
      </c>
    </row>
    <row r="31" spans="1:21" s="8" customFormat="1" ht="12.75" customHeight="1">
      <c r="A31" s="204" t="s">
        <v>162</v>
      </c>
      <c r="B31" s="204" t="s">
        <v>160</v>
      </c>
      <c r="C31" s="205" t="s">
        <v>118</v>
      </c>
      <c r="D31" s="206">
        <f t="shared" si="6"/>
        <v>28</v>
      </c>
      <c r="E31" s="327"/>
      <c r="F31" s="218">
        <v>5</v>
      </c>
      <c r="G31" s="219" t="s">
        <v>649</v>
      </c>
      <c r="H31" s="219" t="s">
        <v>368</v>
      </c>
      <c r="I31" s="218" t="s">
        <v>327</v>
      </c>
      <c r="J31" s="219"/>
      <c r="K31" s="461"/>
      <c r="L31" s="479"/>
      <c r="M31" s="479"/>
      <c r="N31" s="206"/>
      <c r="O31" s="410" t="s">
        <v>327</v>
      </c>
      <c r="P31" s="488">
        <f t="shared" si="4"/>
        <v>5</v>
      </c>
      <c r="Q31" s="493">
        <f t="shared" si="5"/>
        <v>5</v>
      </c>
      <c r="R31" s="493">
        <f t="shared" si="0"/>
        <v>5</v>
      </c>
      <c r="S31" s="493">
        <f t="shared" si="1"/>
        <v>5</v>
      </c>
      <c r="T31" s="493">
        <f t="shared" si="2"/>
        <v>5</v>
      </c>
      <c r="U31" s="493">
        <f t="shared" si="3"/>
        <v>5</v>
      </c>
    </row>
    <row r="32" spans="1:21" s="8" customFormat="1">
      <c r="A32" s="186" t="s">
        <v>162</v>
      </c>
      <c r="B32" s="186" t="s">
        <v>160</v>
      </c>
      <c r="C32" s="187" t="s">
        <v>119</v>
      </c>
      <c r="D32" s="188">
        <f t="shared" si="6"/>
        <v>29</v>
      </c>
      <c r="E32" s="327"/>
      <c r="F32" s="200">
        <v>2</v>
      </c>
      <c r="G32" s="154" t="s">
        <v>649</v>
      </c>
      <c r="H32" s="154" t="s">
        <v>366</v>
      </c>
      <c r="I32" s="200">
        <v>4</v>
      </c>
      <c r="J32" s="154" t="s">
        <v>364</v>
      </c>
      <c r="K32" s="376" t="s">
        <v>365</v>
      </c>
      <c r="L32" s="481">
        <v>1.5</v>
      </c>
      <c r="M32" s="481" t="s">
        <v>652</v>
      </c>
      <c r="N32" s="188" t="s">
        <v>826</v>
      </c>
      <c r="O32" s="410" t="s">
        <v>327</v>
      </c>
      <c r="P32" s="489">
        <f t="shared" si="4"/>
        <v>1.5</v>
      </c>
      <c r="Q32" s="494">
        <f t="shared" si="5"/>
        <v>4</v>
      </c>
      <c r="R32" s="494">
        <f>I32</f>
        <v>4</v>
      </c>
      <c r="S32" s="494">
        <f>I32</f>
        <v>4</v>
      </c>
      <c r="T32" s="494">
        <f>F32</f>
        <v>2</v>
      </c>
      <c r="U32" s="494">
        <f>F32</f>
        <v>2</v>
      </c>
    </row>
    <row r="33" spans="1:21" s="8" customFormat="1">
      <c r="A33" s="204" t="s">
        <v>162</v>
      </c>
      <c r="B33" s="204" t="s">
        <v>160</v>
      </c>
      <c r="C33" s="205" t="s">
        <v>778</v>
      </c>
      <c r="D33" s="206">
        <f t="shared" si="6"/>
        <v>30</v>
      </c>
      <c r="E33" s="327"/>
      <c r="F33" s="218">
        <v>2</v>
      </c>
      <c r="G33" s="219" t="s">
        <v>649</v>
      </c>
      <c r="H33" s="219" t="s">
        <v>366</v>
      </c>
      <c r="I33" s="218">
        <v>4.9000000000000004</v>
      </c>
      <c r="J33" s="219" t="s">
        <v>652</v>
      </c>
      <c r="K33" s="461" t="s">
        <v>828</v>
      </c>
      <c r="L33" s="200">
        <v>4</v>
      </c>
      <c r="M33" s="154" t="s">
        <v>364</v>
      </c>
      <c r="N33" s="376" t="s">
        <v>365</v>
      </c>
      <c r="O33" s="410" t="s">
        <v>327</v>
      </c>
      <c r="P33" s="488">
        <f>MIN(F33,I33,L33)</f>
        <v>2</v>
      </c>
      <c r="Q33" s="493">
        <f>MAX(F33,I33,L33)</f>
        <v>4.9000000000000004</v>
      </c>
      <c r="R33" s="493">
        <f>L33</f>
        <v>4</v>
      </c>
      <c r="S33" s="493">
        <f>L33</f>
        <v>4</v>
      </c>
      <c r="T33" s="493">
        <f>F33</f>
        <v>2</v>
      </c>
      <c r="U33" s="493">
        <f>F33</f>
        <v>2</v>
      </c>
    </row>
    <row r="34" spans="1:21" s="8" customFormat="1">
      <c r="A34" s="186" t="s">
        <v>162</v>
      </c>
      <c r="B34" s="186" t="s">
        <v>161</v>
      </c>
      <c r="C34" s="187" t="s">
        <v>120</v>
      </c>
      <c r="D34" s="188">
        <f t="shared" si="6"/>
        <v>31</v>
      </c>
      <c r="E34" s="327"/>
      <c r="F34" s="200">
        <v>5</v>
      </c>
      <c r="G34" s="154" t="s">
        <v>649</v>
      </c>
      <c r="H34" s="154" t="s">
        <v>368</v>
      </c>
      <c r="I34" s="200" t="s">
        <v>327</v>
      </c>
      <c r="J34" s="154"/>
      <c r="K34" s="376"/>
      <c r="L34" s="410"/>
      <c r="M34" s="481"/>
      <c r="N34" s="188" t="s">
        <v>810</v>
      </c>
      <c r="O34" s="410" t="s">
        <v>327</v>
      </c>
      <c r="P34" s="489">
        <f t="shared" si="4"/>
        <v>5</v>
      </c>
      <c r="Q34" s="494">
        <f t="shared" si="5"/>
        <v>5</v>
      </c>
      <c r="R34" s="494">
        <f t="shared" ref="R34:R77" si="7">AVERAGE(F34,I34,L34)</f>
        <v>5</v>
      </c>
      <c r="S34" s="494">
        <f t="shared" ref="S34:S77" si="8">AVERAGE(F34,I34,L34)</f>
        <v>5</v>
      </c>
      <c r="T34" s="494">
        <f t="shared" ref="T34:T74" si="9">AVERAGE(F34,I34,L34)</f>
        <v>5</v>
      </c>
      <c r="U34" s="494">
        <f t="shared" ref="U34:U74" si="10">AVERAGE(F34,I34,L34)</f>
        <v>5</v>
      </c>
    </row>
    <row r="35" spans="1:21" s="8" customFormat="1" ht="12.75" customHeight="1">
      <c r="A35" s="204" t="s">
        <v>162</v>
      </c>
      <c r="B35" s="204" t="s">
        <v>161</v>
      </c>
      <c r="C35" s="205" t="s">
        <v>184</v>
      </c>
      <c r="D35" s="206">
        <f t="shared" si="6"/>
        <v>32</v>
      </c>
      <c r="E35" s="327"/>
      <c r="F35" s="218">
        <v>6</v>
      </c>
      <c r="G35" s="219" t="s">
        <v>649</v>
      </c>
      <c r="H35" s="219" t="s">
        <v>327</v>
      </c>
      <c r="I35" s="218">
        <v>5</v>
      </c>
      <c r="J35" s="219" t="s">
        <v>653</v>
      </c>
      <c r="K35" s="461" t="s">
        <v>327</v>
      </c>
      <c r="L35" s="479">
        <v>5</v>
      </c>
      <c r="M35" s="479" t="s">
        <v>652</v>
      </c>
      <c r="N35" s="206" t="s">
        <v>825</v>
      </c>
      <c r="O35" s="410" t="s">
        <v>327</v>
      </c>
      <c r="P35" s="488">
        <f t="shared" si="4"/>
        <v>5</v>
      </c>
      <c r="Q35" s="493">
        <f t="shared" si="5"/>
        <v>6</v>
      </c>
      <c r="R35" s="493">
        <f t="shared" si="7"/>
        <v>5.333333333333333</v>
      </c>
      <c r="S35" s="493">
        <f t="shared" si="8"/>
        <v>5.333333333333333</v>
      </c>
      <c r="T35" s="493">
        <f t="shared" si="9"/>
        <v>5.333333333333333</v>
      </c>
      <c r="U35" s="493">
        <f t="shared" si="10"/>
        <v>5.333333333333333</v>
      </c>
    </row>
    <row r="36" spans="1:21" s="8" customFormat="1">
      <c r="A36" s="186" t="s">
        <v>162</v>
      </c>
      <c r="B36" s="186" t="s">
        <v>161</v>
      </c>
      <c r="C36" s="187" t="s">
        <v>215</v>
      </c>
      <c r="D36" s="188">
        <f t="shared" si="6"/>
        <v>33</v>
      </c>
      <c r="E36" s="327"/>
      <c r="F36" s="200">
        <v>6</v>
      </c>
      <c r="G36" s="154" t="s">
        <v>649</v>
      </c>
      <c r="H36" s="154" t="s">
        <v>327</v>
      </c>
      <c r="I36" s="200">
        <v>5</v>
      </c>
      <c r="J36" s="154" t="s">
        <v>653</v>
      </c>
      <c r="K36" s="376" t="s">
        <v>327</v>
      </c>
      <c r="L36" s="410">
        <v>5</v>
      </c>
      <c r="M36" s="481" t="s">
        <v>652</v>
      </c>
      <c r="N36" s="188" t="s">
        <v>825</v>
      </c>
      <c r="O36" s="410" t="s">
        <v>327</v>
      </c>
      <c r="P36" s="489">
        <f t="shared" si="4"/>
        <v>5</v>
      </c>
      <c r="Q36" s="494">
        <f t="shared" si="5"/>
        <v>6</v>
      </c>
      <c r="R36" s="494">
        <f t="shared" si="7"/>
        <v>5.333333333333333</v>
      </c>
      <c r="S36" s="494">
        <f t="shared" si="8"/>
        <v>5.333333333333333</v>
      </c>
      <c r="T36" s="494">
        <f t="shared" si="9"/>
        <v>5.333333333333333</v>
      </c>
      <c r="U36" s="494">
        <f t="shared" si="10"/>
        <v>5.333333333333333</v>
      </c>
    </row>
    <row r="37" spans="1:21" s="8" customFormat="1">
      <c r="A37" s="223" t="s">
        <v>162</v>
      </c>
      <c r="B37" s="223" t="s">
        <v>161</v>
      </c>
      <c r="C37" s="224" t="s">
        <v>121</v>
      </c>
      <c r="D37" s="225">
        <f t="shared" si="6"/>
        <v>34</v>
      </c>
      <c r="E37" s="327"/>
      <c r="F37" s="232">
        <v>5</v>
      </c>
      <c r="G37" s="233" t="s">
        <v>649</v>
      </c>
      <c r="H37" s="233" t="s">
        <v>368</v>
      </c>
      <c r="I37" s="232" t="s">
        <v>327</v>
      </c>
      <c r="J37" s="233"/>
      <c r="K37" s="462"/>
      <c r="L37" s="484"/>
      <c r="M37" s="484"/>
      <c r="N37" s="225"/>
      <c r="O37" s="410" t="s">
        <v>327</v>
      </c>
      <c r="P37" s="490">
        <f t="shared" si="4"/>
        <v>5</v>
      </c>
      <c r="Q37" s="496">
        <f t="shared" si="5"/>
        <v>5</v>
      </c>
      <c r="R37" s="496">
        <f t="shared" si="7"/>
        <v>5</v>
      </c>
      <c r="S37" s="496">
        <f t="shared" si="8"/>
        <v>5</v>
      </c>
      <c r="T37" s="496">
        <f t="shared" si="9"/>
        <v>5</v>
      </c>
      <c r="U37" s="496">
        <f t="shared" si="10"/>
        <v>5</v>
      </c>
    </row>
    <row r="38" spans="1:21" s="8" customFormat="1">
      <c r="A38" s="186" t="s">
        <v>164</v>
      </c>
      <c r="B38" s="186" t="s">
        <v>199</v>
      </c>
      <c r="C38" s="187" t="s">
        <v>122</v>
      </c>
      <c r="D38" s="188">
        <f t="shared" si="6"/>
        <v>35</v>
      </c>
      <c r="E38" s="327"/>
      <c r="F38" s="154">
        <v>4</v>
      </c>
      <c r="G38" s="154" t="s">
        <v>192</v>
      </c>
      <c r="H38" s="154" t="s">
        <v>327</v>
      </c>
      <c r="I38" s="200"/>
      <c r="J38" s="154"/>
      <c r="K38" s="376"/>
      <c r="L38" s="481"/>
      <c r="M38" s="481"/>
      <c r="N38" s="188"/>
      <c r="O38" s="410" t="s">
        <v>327</v>
      </c>
      <c r="P38" s="502">
        <f t="shared" si="4"/>
        <v>4</v>
      </c>
      <c r="Q38" s="494">
        <f t="shared" si="5"/>
        <v>4</v>
      </c>
      <c r="R38" s="494">
        <f t="shared" si="7"/>
        <v>4</v>
      </c>
      <c r="S38" s="494">
        <f t="shared" si="8"/>
        <v>4</v>
      </c>
      <c r="T38" s="494">
        <f t="shared" si="9"/>
        <v>4</v>
      </c>
      <c r="U38" s="494">
        <f t="shared" si="10"/>
        <v>4</v>
      </c>
    </row>
    <row r="39" spans="1:21" s="8" customFormat="1">
      <c r="A39" s="204" t="s">
        <v>164</v>
      </c>
      <c r="B39" s="204" t="s">
        <v>199</v>
      </c>
      <c r="C39" s="205" t="s">
        <v>131</v>
      </c>
      <c r="D39" s="206">
        <f t="shared" si="6"/>
        <v>36</v>
      </c>
      <c r="E39" s="327"/>
      <c r="F39" s="219">
        <v>5</v>
      </c>
      <c r="G39" s="219" t="s">
        <v>352</v>
      </c>
      <c r="H39" s="219" t="s">
        <v>327</v>
      </c>
      <c r="I39" s="218"/>
      <c r="J39" s="219"/>
      <c r="K39" s="461"/>
      <c r="L39" s="479"/>
      <c r="M39" s="479"/>
      <c r="N39" s="206"/>
      <c r="O39" s="410" t="s">
        <v>327</v>
      </c>
      <c r="P39" s="501">
        <f t="shared" si="4"/>
        <v>5</v>
      </c>
      <c r="Q39" s="493">
        <f t="shared" si="5"/>
        <v>5</v>
      </c>
      <c r="R39" s="493">
        <f t="shared" si="7"/>
        <v>5</v>
      </c>
      <c r="S39" s="493">
        <f t="shared" si="8"/>
        <v>5</v>
      </c>
      <c r="T39" s="493">
        <f t="shared" si="9"/>
        <v>5</v>
      </c>
      <c r="U39" s="493">
        <f t="shared" si="10"/>
        <v>5</v>
      </c>
    </row>
    <row r="40" spans="1:21" s="8" customFormat="1">
      <c r="A40" s="186" t="s">
        <v>164</v>
      </c>
      <c r="B40" s="186" t="s">
        <v>200</v>
      </c>
      <c r="C40" s="187" t="s">
        <v>133</v>
      </c>
      <c r="D40" s="188">
        <f t="shared" si="6"/>
        <v>37</v>
      </c>
      <c r="E40" s="327"/>
      <c r="F40" s="154">
        <v>2</v>
      </c>
      <c r="G40" s="154" t="s">
        <v>352</v>
      </c>
      <c r="H40" s="154" t="s">
        <v>327</v>
      </c>
      <c r="I40" s="200"/>
      <c r="J40" s="154"/>
      <c r="K40" s="376"/>
      <c r="L40" s="156"/>
      <c r="M40" s="481"/>
      <c r="N40" s="188"/>
      <c r="O40" s="410" t="s">
        <v>327</v>
      </c>
      <c r="P40" s="502">
        <f t="shared" si="4"/>
        <v>2</v>
      </c>
      <c r="Q40" s="494">
        <f t="shared" si="5"/>
        <v>2</v>
      </c>
      <c r="R40" s="494">
        <f t="shared" si="7"/>
        <v>2</v>
      </c>
      <c r="S40" s="494">
        <f t="shared" si="8"/>
        <v>2</v>
      </c>
      <c r="T40" s="494">
        <f t="shared" si="9"/>
        <v>2</v>
      </c>
      <c r="U40" s="494">
        <f t="shared" si="10"/>
        <v>2</v>
      </c>
    </row>
    <row r="41" spans="1:21" s="8" customFormat="1" ht="12.75" customHeight="1">
      <c r="A41" s="204" t="s">
        <v>164</v>
      </c>
      <c r="B41" s="204" t="s">
        <v>200</v>
      </c>
      <c r="C41" s="205" t="s">
        <v>226</v>
      </c>
      <c r="D41" s="206">
        <f t="shared" si="6"/>
        <v>38</v>
      </c>
      <c r="E41" s="327"/>
      <c r="F41" s="219">
        <v>3</v>
      </c>
      <c r="G41" s="219" t="s">
        <v>178</v>
      </c>
      <c r="H41" s="219" t="s">
        <v>327</v>
      </c>
      <c r="I41" s="218"/>
      <c r="J41" s="219"/>
      <c r="K41" s="461"/>
      <c r="L41" s="479"/>
      <c r="M41" s="479"/>
      <c r="N41" s="206"/>
      <c r="O41" s="410" t="s">
        <v>327</v>
      </c>
      <c r="P41" s="501">
        <f t="shared" si="4"/>
        <v>3</v>
      </c>
      <c r="Q41" s="493">
        <f t="shared" si="5"/>
        <v>3</v>
      </c>
      <c r="R41" s="493">
        <f t="shared" si="7"/>
        <v>3</v>
      </c>
      <c r="S41" s="493">
        <f t="shared" si="8"/>
        <v>3</v>
      </c>
      <c r="T41" s="493">
        <f t="shared" si="9"/>
        <v>3</v>
      </c>
      <c r="U41" s="493">
        <f t="shared" si="10"/>
        <v>3</v>
      </c>
    </row>
    <row r="42" spans="1:21" s="8" customFormat="1">
      <c r="A42" s="186" t="s">
        <v>164</v>
      </c>
      <c r="B42" s="186" t="s">
        <v>200</v>
      </c>
      <c r="C42" s="187" t="s">
        <v>197</v>
      </c>
      <c r="D42" s="188">
        <f t="shared" si="6"/>
        <v>39</v>
      </c>
      <c r="E42" s="327"/>
      <c r="F42" s="154">
        <v>5</v>
      </c>
      <c r="G42" s="154" t="s">
        <v>377</v>
      </c>
      <c r="H42" s="154" t="s">
        <v>327</v>
      </c>
      <c r="I42" s="200"/>
      <c r="J42" s="154"/>
      <c r="K42" s="376"/>
      <c r="L42" s="481"/>
      <c r="M42" s="481"/>
      <c r="N42" s="188"/>
      <c r="O42" s="410" t="s">
        <v>327</v>
      </c>
      <c r="P42" s="502">
        <f t="shared" si="4"/>
        <v>5</v>
      </c>
      <c r="Q42" s="494">
        <f t="shared" si="5"/>
        <v>5</v>
      </c>
      <c r="R42" s="494">
        <f t="shared" si="7"/>
        <v>5</v>
      </c>
      <c r="S42" s="494">
        <f t="shared" si="8"/>
        <v>5</v>
      </c>
      <c r="T42" s="494">
        <f t="shared" si="9"/>
        <v>5</v>
      </c>
      <c r="U42" s="494">
        <f t="shared" si="10"/>
        <v>5</v>
      </c>
    </row>
    <row r="43" spans="1:21" s="8" customFormat="1">
      <c r="A43" s="204" t="s">
        <v>164</v>
      </c>
      <c r="B43" s="204" t="s">
        <v>165</v>
      </c>
      <c r="C43" s="205" t="s">
        <v>126</v>
      </c>
      <c r="D43" s="206">
        <f t="shared" si="6"/>
        <v>40</v>
      </c>
      <c r="E43" s="327"/>
      <c r="F43" s="219">
        <v>6</v>
      </c>
      <c r="G43" s="219" t="s">
        <v>653</v>
      </c>
      <c r="H43" s="219" t="s">
        <v>327</v>
      </c>
      <c r="I43" s="218"/>
      <c r="J43" s="219"/>
      <c r="K43" s="461"/>
      <c r="L43" s="479"/>
      <c r="M43" s="479"/>
      <c r="N43" s="206"/>
      <c r="O43" s="410" t="s">
        <v>327</v>
      </c>
      <c r="P43" s="501">
        <f t="shared" si="4"/>
        <v>6</v>
      </c>
      <c r="Q43" s="493">
        <f t="shared" si="5"/>
        <v>6</v>
      </c>
      <c r="R43" s="493">
        <f t="shared" si="7"/>
        <v>6</v>
      </c>
      <c r="S43" s="493">
        <f t="shared" si="8"/>
        <v>6</v>
      </c>
      <c r="T43" s="493">
        <f t="shared" si="9"/>
        <v>6</v>
      </c>
      <c r="U43" s="493">
        <f t="shared" si="10"/>
        <v>6</v>
      </c>
    </row>
    <row r="44" spans="1:21" s="8" customFormat="1">
      <c r="A44" s="186" t="s">
        <v>164</v>
      </c>
      <c r="B44" s="186" t="s">
        <v>165</v>
      </c>
      <c r="C44" s="187" t="s">
        <v>127</v>
      </c>
      <c r="D44" s="188">
        <f t="shared" si="6"/>
        <v>41</v>
      </c>
      <c r="E44" s="327"/>
      <c r="F44" s="154">
        <v>6</v>
      </c>
      <c r="G44" s="154" t="s">
        <v>653</v>
      </c>
      <c r="H44" s="154" t="s">
        <v>369</v>
      </c>
      <c r="I44" s="200" t="s">
        <v>327</v>
      </c>
      <c r="J44" s="154"/>
      <c r="K44" s="376"/>
      <c r="L44" s="156"/>
      <c r="M44" s="481"/>
      <c r="N44" s="188"/>
      <c r="O44" s="410" t="s">
        <v>327</v>
      </c>
      <c r="P44" s="502">
        <f t="shared" si="4"/>
        <v>6</v>
      </c>
      <c r="Q44" s="494">
        <f t="shared" si="5"/>
        <v>6</v>
      </c>
      <c r="R44" s="494">
        <f t="shared" si="7"/>
        <v>6</v>
      </c>
      <c r="S44" s="494">
        <f t="shared" si="8"/>
        <v>6</v>
      </c>
      <c r="T44" s="494">
        <f t="shared" si="9"/>
        <v>6</v>
      </c>
      <c r="U44" s="494">
        <f t="shared" si="10"/>
        <v>6</v>
      </c>
    </row>
    <row r="45" spans="1:21" s="8" customFormat="1" ht="12.75" customHeight="1">
      <c r="A45" s="204" t="s">
        <v>164</v>
      </c>
      <c r="B45" s="204" t="s">
        <v>165</v>
      </c>
      <c r="C45" s="205" t="s">
        <v>128</v>
      </c>
      <c r="D45" s="206">
        <f t="shared" si="6"/>
        <v>42</v>
      </c>
      <c r="E45" s="327"/>
      <c r="F45" s="219">
        <v>6</v>
      </c>
      <c r="G45" s="219" t="s">
        <v>653</v>
      </c>
      <c r="H45" s="219" t="s">
        <v>369</v>
      </c>
      <c r="I45" s="218" t="s">
        <v>327</v>
      </c>
      <c r="J45" s="219"/>
      <c r="K45" s="461"/>
      <c r="L45" s="479"/>
      <c r="M45" s="479"/>
      <c r="N45" s="206"/>
      <c r="O45" s="410" t="s">
        <v>327</v>
      </c>
      <c r="P45" s="501">
        <f t="shared" si="4"/>
        <v>6</v>
      </c>
      <c r="Q45" s="493">
        <f t="shared" si="5"/>
        <v>6</v>
      </c>
      <c r="R45" s="493">
        <f t="shared" si="7"/>
        <v>6</v>
      </c>
      <c r="S45" s="493">
        <f t="shared" si="8"/>
        <v>6</v>
      </c>
      <c r="T45" s="493">
        <f t="shared" si="9"/>
        <v>6</v>
      </c>
      <c r="U45" s="493">
        <f t="shared" si="10"/>
        <v>6</v>
      </c>
    </row>
    <row r="46" spans="1:21" s="8" customFormat="1">
      <c r="A46" s="186" t="s">
        <v>164</v>
      </c>
      <c r="B46" s="186" t="s">
        <v>201</v>
      </c>
      <c r="C46" s="187" t="s">
        <v>227</v>
      </c>
      <c r="D46" s="188">
        <f t="shared" si="6"/>
        <v>43</v>
      </c>
      <c r="E46" s="327"/>
      <c r="F46" s="154">
        <v>10</v>
      </c>
      <c r="G46" s="154" t="s">
        <v>649</v>
      </c>
      <c r="H46" s="154" t="s">
        <v>327</v>
      </c>
      <c r="I46" s="200" t="s">
        <v>327</v>
      </c>
      <c r="J46" s="154"/>
      <c r="K46" s="376"/>
      <c r="L46" s="156"/>
      <c r="M46" s="481"/>
      <c r="N46" s="188"/>
      <c r="O46" s="410" t="s">
        <v>327</v>
      </c>
      <c r="P46" s="502">
        <f t="shared" si="4"/>
        <v>10</v>
      </c>
      <c r="Q46" s="494">
        <f t="shared" si="5"/>
        <v>10</v>
      </c>
      <c r="R46" s="494">
        <f t="shared" si="7"/>
        <v>10</v>
      </c>
      <c r="S46" s="494">
        <f t="shared" si="8"/>
        <v>10</v>
      </c>
      <c r="T46" s="494">
        <f t="shared" si="9"/>
        <v>10</v>
      </c>
      <c r="U46" s="494">
        <f t="shared" si="10"/>
        <v>10</v>
      </c>
    </row>
    <row r="47" spans="1:21" s="8" customFormat="1">
      <c r="A47" s="204" t="s">
        <v>164</v>
      </c>
      <c r="B47" s="204" t="s">
        <v>201</v>
      </c>
      <c r="C47" s="205" t="s">
        <v>134</v>
      </c>
      <c r="D47" s="206">
        <f t="shared" si="6"/>
        <v>44</v>
      </c>
      <c r="E47" s="327"/>
      <c r="F47" s="219">
        <v>10</v>
      </c>
      <c r="G47" s="219" t="s">
        <v>352</v>
      </c>
      <c r="H47" s="219" t="s">
        <v>327</v>
      </c>
      <c r="I47" s="218"/>
      <c r="J47" s="219"/>
      <c r="K47" s="461"/>
      <c r="L47" s="479"/>
      <c r="M47" s="479"/>
      <c r="N47" s="206"/>
      <c r="O47" s="410" t="s">
        <v>327</v>
      </c>
      <c r="P47" s="501">
        <f t="shared" si="4"/>
        <v>10</v>
      </c>
      <c r="Q47" s="493">
        <f t="shared" si="5"/>
        <v>10</v>
      </c>
      <c r="R47" s="493">
        <f t="shared" si="7"/>
        <v>10</v>
      </c>
      <c r="S47" s="493">
        <f t="shared" si="8"/>
        <v>10</v>
      </c>
      <c r="T47" s="493">
        <f t="shared" si="9"/>
        <v>10</v>
      </c>
      <c r="U47" s="493">
        <f t="shared" si="10"/>
        <v>10</v>
      </c>
    </row>
    <row r="48" spans="1:21" s="8" customFormat="1">
      <c r="A48" s="186" t="s">
        <v>164</v>
      </c>
      <c r="B48" s="186" t="s">
        <v>201</v>
      </c>
      <c r="C48" s="187" t="s">
        <v>168</v>
      </c>
      <c r="D48" s="188">
        <f t="shared" si="6"/>
        <v>45</v>
      </c>
      <c r="E48" s="327"/>
      <c r="F48" s="154">
        <v>10</v>
      </c>
      <c r="G48" s="154" t="s">
        <v>352</v>
      </c>
      <c r="H48" s="154" t="s">
        <v>375</v>
      </c>
      <c r="I48" s="200" t="s">
        <v>327</v>
      </c>
      <c r="J48" s="154"/>
      <c r="K48" s="376"/>
      <c r="L48" s="481"/>
      <c r="M48" s="481"/>
      <c r="N48" s="188"/>
      <c r="O48" s="410" t="s">
        <v>327</v>
      </c>
      <c r="P48" s="502">
        <f t="shared" si="4"/>
        <v>10</v>
      </c>
      <c r="Q48" s="494">
        <f t="shared" si="5"/>
        <v>10</v>
      </c>
      <c r="R48" s="494">
        <f t="shared" si="7"/>
        <v>10</v>
      </c>
      <c r="S48" s="494">
        <f t="shared" si="8"/>
        <v>10</v>
      </c>
      <c r="T48" s="494">
        <f t="shared" si="9"/>
        <v>10</v>
      </c>
      <c r="U48" s="494">
        <f t="shared" si="10"/>
        <v>10</v>
      </c>
    </row>
    <row r="49" spans="1:21" s="8" customFormat="1">
      <c r="A49" s="204" t="s">
        <v>164</v>
      </c>
      <c r="B49" s="204" t="s">
        <v>166</v>
      </c>
      <c r="C49" s="205" t="s">
        <v>228</v>
      </c>
      <c r="D49" s="206">
        <f t="shared" si="6"/>
        <v>46</v>
      </c>
      <c r="E49" s="327"/>
      <c r="F49" s="219">
        <v>4</v>
      </c>
      <c r="G49" s="219" t="s">
        <v>649</v>
      </c>
      <c r="H49" s="219" t="s">
        <v>182</v>
      </c>
      <c r="I49" s="218">
        <v>6</v>
      </c>
      <c r="J49" s="219" t="s">
        <v>644</v>
      </c>
      <c r="K49" s="461" t="s">
        <v>327</v>
      </c>
      <c r="L49" s="479"/>
      <c r="M49" s="479"/>
      <c r="N49" s="206"/>
      <c r="O49" s="410" t="s">
        <v>327</v>
      </c>
      <c r="P49" s="501">
        <f t="shared" si="4"/>
        <v>4</v>
      </c>
      <c r="Q49" s="493">
        <f t="shared" si="5"/>
        <v>6</v>
      </c>
      <c r="R49" s="493">
        <f t="shared" si="7"/>
        <v>5</v>
      </c>
      <c r="S49" s="493">
        <f t="shared" si="8"/>
        <v>5</v>
      </c>
      <c r="T49" s="493">
        <f t="shared" si="9"/>
        <v>5</v>
      </c>
      <c r="U49" s="493">
        <f t="shared" si="10"/>
        <v>5</v>
      </c>
    </row>
    <row r="50" spans="1:21" s="8" customFormat="1">
      <c r="A50" s="186" t="s">
        <v>164</v>
      </c>
      <c r="B50" s="186" t="s">
        <v>166</v>
      </c>
      <c r="C50" s="187" t="s">
        <v>229</v>
      </c>
      <c r="D50" s="188">
        <f t="shared" si="6"/>
        <v>47</v>
      </c>
      <c r="E50" s="327"/>
      <c r="F50" s="154">
        <v>4</v>
      </c>
      <c r="G50" s="154" t="s">
        <v>649</v>
      </c>
      <c r="H50" s="154" t="s">
        <v>182</v>
      </c>
      <c r="I50" s="200">
        <v>6</v>
      </c>
      <c r="J50" s="154" t="s">
        <v>644</v>
      </c>
      <c r="K50" s="376" t="s">
        <v>327</v>
      </c>
      <c r="L50" s="481"/>
      <c r="M50" s="481"/>
      <c r="N50" s="188"/>
      <c r="O50" s="410" t="s">
        <v>327</v>
      </c>
      <c r="P50" s="502">
        <f t="shared" si="4"/>
        <v>4</v>
      </c>
      <c r="Q50" s="494">
        <f t="shared" si="5"/>
        <v>6</v>
      </c>
      <c r="R50" s="494">
        <f t="shared" si="7"/>
        <v>5</v>
      </c>
      <c r="S50" s="494">
        <f t="shared" si="8"/>
        <v>5</v>
      </c>
      <c r="T50" s="494">
        <f t="shared" si="9"/>
        <v>5</v>
      </c>
      <c r="U50" s="494">
        <f t="shared" si="10"/>
        <v>5</v>
      </c>
    </row>
    <row r="51" spans="1:21" s="8" customFormat="1">
      <c r="A51" s="204" t="s">
        <v>164</v>
      </c>
      <c r="B51" s="204" t="s">
        <v>166</v>
      </c>
      <c r="C51" s="205" t="s">
        <v>230</v>
      </c>
      <c r="D51" s="206">
        <f t="shared" si="6"/>
        <v>48</v>
      </c>
      <c r="E51" s="327"/>
      <c r="F51" s="219">
        <v>4</v>
      </c>
      <c r="G51" s="219" t="s">
        <v>649</v>
      </c>
      <c r="H51" s="219" t="s">
        <v>182</v>
      </c>
      <c r="I51" s="218">
        <v>6</v>
      </c>
      <c r="J51" s="219" t="s">
        <v>644</v>
      </c>
      <c r="K51" s="461" t="s">
        <v>327</v>
      </c>
      <c r="L51" s="479"/>
      <c r="M51" s="479"/>
      <c r="N51" s="206"/>
      <c r="O51" s="410" t="s">
        <v>327</v>
      </c>
      <c r="P51" s="501">
        <f t="shared" si="4"/>
        <v>4</v>
      </c>
      <c r="Q51" s="493">
        <f t="shared" si="5"/>
        <v>6</v>
      </c>
      <c r="R51" s="493">
        <f t="shared" si="7"/>
        <v>5</v>
      </c>
      <c r="S51" s="493">
        <f t="shared" si="8"/>
        <v>5</v>
      </c>
      <c r="T51" s="493">
        <f t="shared" si="9"/>
        <v>5</v>
      </c>
      <c r="U51" s="493">
        <f t="shared" si="10"/>
        <v>5</v>
      </c>
    </row>
    <row r="52" spans="1:21" s="8" customFormat="1">
      <c r="A52" s="186" t="s">
        <v>164</v>
      </c>
      <c r="B52" s="186" t="s">
        <v>202</v>
      </c>
      <c r="C52" s="187" t="s">
        <v>123</v>
      </c>
      <c r="D52" s="188">
        <f t="shared" si="6"/>
        <v>49</v>
      </c>
      <c r="E52" s="327"/>
      <c r="F52" s="154">
        <v>6</v>
      </c>
      <c r="G52" s="154" t="s">
        <v>649</v>
      </c>
      <c r="H52" s="154" t="s">
        <v>367</v>
      </c>
      <c r="I52" s="200">
        <v>5</v>
      </c>
      <c r="J52" s="154" t="s">
        <v>644</v>
      </c>
      <c r="K52" s="376" t="s">
        <v>327</v>
      </c>
      <c r="L52" s="156">
        <v>3.7</v>
      </c>
      <c r="M52" s="481" t="s">
        <v>658</v>
      </c>
      <c r="N52" s="188" t="s">
        <v>327</v>
      </c>
      <c r="O52" s="410" t="s">
        <v>327</v>
      </c>
      <c r="P52" s="502">
        <f t="shared" si="4"/>
        <v>3.7</v>
      </c>
      <c r="Q52" s="494">
        <f t="shared" si="5"/>
        <v>6</v>
      </c>
      <c r="R52" s="494">
        <f t="shared" si="7"/>
        <v>4.8999999999999995</v>
      </c>
      <c r="S52" s="494">
        <f t="shared" si="8"/>
        <v>4.8999999999999995</v>
      </c>
      <c r="T52" s="494">
        <f t="shared" si="9"/>
        <v>4.8999999999999995</v>
      </c>
      <c r="U52" s="494">
        <f t="shared" si="10"/>
        <v>4.8999999999999995</v>
      </c>
    </row>
    <row r="53" spans="1:21" s="8" customFormat="1" ht="12.75" customHeight="1">
      <c r="A53" s="204" t="s">
        <v>164</v>
      </c>
      <c r="B53" s="204" t="s">
        <v>202</v>
      </c>
      <c r="C53" s="205" t="s">
        <v>124</v>
      </c>
      <c r="D53" s="206">
        <f t="shared" si="6"/>
        <v>50</v>
      </c>
      <c r="E53" s="327"/>
      <c r="F53" s="219">
        <v>6</v>
      </c>
      <c r="G53" s="219" t="s">
        <v>649</v>
      </c>
      <c r="H53" s="219" t="s">
        <v>327</v>
      </c>
      <c r="I53" s="218"/>
      <c r="J53" s="219"/>
      <c r="K53" s="461"/>
      <c r="L53" s="479"/>
      <c r="M53" s="479"/>
      <c r="N53" s="206"/>
      <c r="O53" s="410" t="s">
        <v>327</v>
      </c>
      <c r="P53" s="501">
        <f t="shared" si="4"/>
        <v>6</v>
      </c>
      <c r="Q53" s="493">
        <f t="shared" si="5"/>
        <v>6</v>
      </c>
      <c r="R53" s="493">
        <f t="shared" si="7"/>
        <v>6</v>
      </c>
      <c r="S53" s="493">
        <f t="shared" si="8"/>
        <v>6</v>
      </c>
      <c r="T53" s="493">
        <f t="shared" si="9"/>
        <v>6</v>
      </c>
      <c r="U53" s="493">
        <f t="shared" si="10"/>
        <v>6</v>
      </c>
    </row>
    <row r="54" spans="1:21" s="8" customFormat="1">
      <c r="A54" s="186" t="s">
        <v>164</v>
      </c>
      <c r="B54" s="186" t="s">
        <v>202</v>
      </c>
      <c r="C54" s="187" t="s">
        <v>125</v>
      </c>
      <c r="D54" s="188">
        <f t="shared" si="6"/>
        <v>51</v>
      </c>
      <c r="E54" s="327"/>
      <c r="F54" s="154">
        <v>5</v>
      </c>
      <c r="G54" s="154" t="s">
        <v>352</v>
      </c>
      <c r="H54" s="154" t="s">
        <v>327</v>
      </c>
      <c r="I54" s="200"/>
      <c r="J54" s="154"/>
      <c r="K54" s="376"/>
      <c r="L54" s="481"/>
      <c r="M54" s="481"/>
      <c r="N54" s="188"/>
      <c r="O54" s="410" t="s">
        <v>327</v>
      </c>
      <c r="P54" s="502">
        <f t="shared" si="4"/>
        <v>5</v>
      </c>
      <c r="Q54" s="494">
        <f t="shared" si="5"/>
        <v>5</v>
      </c>
      <c r="R54" s="494">
        <f t="shared" si="7"/>
        <v>5</v>
      </c>
      <c r="S54" s="494">
        <f t="shared" si="8"/>
        <v>5</v>
      </c>
      <c r="T54" s="494">
        <f t="shared" si="9"/>
        <v>5</v>
      </c>
      <c r="U54" s="494">
        <f t="shared" si="10"/>
        <v>5</v>
      </c>
    </row>
    <row r="55" spans="1:21" s="8" customFormat="1">
      <c r="A55" s="204" t="s">
        <v>164</v>
      </c>
      <c r="B55" s="204" t="s">
        <v>202</v>
      </c>
      <c r="C55" s="205" t="s">
        <v>181</v>
      </c>
      <c r="D55" s="206">
        <f t="shared" si="6"/>
        <v>52</v>
      </c>
      <c r="E55" s="327"/>
      <c r="F55" s="219">
        <v>4</v>
      </c>
      <c r="G55" s="219" t="s">
        <v>179</v>
      </c>
      <c r="H55" s="219" t="s">
        <v>327</v>
      </c>
      <c r="I55" s="218"/>
      <c r="J55" s="219"/>
      <c r="K55" s="461"/>
      <c r="L55" s="479"/>
      <c r="M55" s="479"/>
      <c r="N55" s="206"/>
      <c r="O55" s="410" t="s">
        <v>327</v>
      </c>
      <c r="P55" s="501">
        <f t="shared" si="4"/>
        <v>4</v>
      </c>
      <c r="Q55" s="493">
        <f t="shared" si="5"/>
        <v>4</v>
      </c>
      <c r="R55" s="493">
        <f t="shared" si="7"/>
        <v>4</v>
      </c>
      <c r="S55" s="493">
        <f t="shared" si="8"/>
        <v>4</v>
      </c>
      <c r="T55" s="493">
        <f t="shared" si="9"/>
        <v>4</v>
      </c>
      <c r="U55" s="493">
        <f t="shared" si="10"/>
        <v>4</v>
      </c>
    </row>
    <row r="56" spans="1:21" s="8" customFormat="1">
      <c r="A56" s="186" t="s">
        <v>164</v>
      </c>
      <c r="B56" s="186" t="s">
        <v>167</v>
      </c>
      <c r="C56" s="187" t="s">
        <v>779</v>
      </c>
      <c r="D56" s="188">
        <f t="shared" si="6"/>
        <v>53</v>
      </c>
      <c r="E56" s="327"/>
      <c r="F56" s="154">
        <v>6.8</v>
      </c>
      <c r="G56" s="154" t="s">
        <v>652</v>
      </c>
      <c r="H56" s="154" t="s">
        <v>829</v>
      </c>
      <c r="I56" s="200" t="s">
        <v>327</v>
      </c>
      <c r="J56" s="154"/>
      <c r="K56" s="376"/>
      <c r="L56" s="156"/>
      <c r="M56" s="481"/>
      <c r="N56" s="188"/>
      <c r="O56" s="410"/>
      <c r="P56" s="502">
        <f t="shared" si="4"/>
        <v>6.8</v>
      </c>
      <c r="Q56" s="494">
        <f t="shared" si="5"/>
        <v>6.8</v>
      </c>
      <c r="R56" s="494">
        <f t="shared" si="7"/>
        <v>6.8</v>
      </c>
      <c r="S56" s="494">
        <f t="shared" si="8"/>
        <v>6.8</v>
      </c>
      <c r="T56" s="494">
        <f t="shared" si="9"/>
        <v>6.8</v>
      </c>
      <c r="U56" s="494">
        <f t="shared" si="10"/>
        <v>6.8</v>
      </c>
    </row>
    <row r="57" spans="1:21" s="8" customFormat="1" ht="12.75" customHeight="1">
      <c r="A57" s="204" t="s">
        <v>164</v>
      </c>
      <c r="B57" s="204" t="s">
        <v>167</v>
      </c>
      <c r="C57" s="205" t="s">
        <v>129</v>
      </c>
      <c r="D57" s="206">
        <f t="shared" si="6"/>
        <v>54</v>
      </c>
      <c r="E57" s="327"/>
      <c r="F57" s="219">
        <v>5</v>
      </c>
      <c r="G57" s="219" t="s">
        <v>352</v>
      </c>
      <c r="H57" s="219" t="s">
        <v>327</v>
      </c>
      <c r="I57" s="218"/>
      <c r="J57" s="219"/>
      <c r="K57" s="461"/>
      <c r="L57" s="479"/>
      <c r="M57" s="479"/>
      <c r="N57" s="206"/>
      <c r="O57" s="410" t="s">
        <v>327</v>
      </c>
      <c r="P57" s="501">
        <f t="shared" si="4"/>
        <v>5</v>
      </c>
      <c r="Q57" s="493">
        <f t="shared" si="5"/>
        <v>5</v>
      </c>
      <c r="R57" s="493">
        <f t="shared" si="7"/>
        <v>5</v>
      </c>
      <c r="S57" s="493">
        <f t="shared" si="8"/>
        <v>5</v>
      </c>
      <c r="T57" s="493">
        <f t="shared" si="9"/>
        <v>5</v>
      </c>
      <c r="U57" s="493">
        <f t="shared" si="10"/>
        <v>5</v>
      </c>
    </row>
    <row r="58" spans="1:21" s="8" customFormat="1">
      <c r="A58" s="186" t="s">
        <v>164</v>
      </c>
      <c r="B58" s="186" t="s">
        <v>167</v>
      </c>
      <c r="C58" s="187" t="s">
        <v>130</v>
      </c>
      <c r="D58" s="188">
        <f t="shared" si="6"/>
        <v>55</v>
      </c>
      <c r="E58" s="327"/>
      <c r="F58" s="154">
        <v>5</v>
      </c>
      <c r="G58" s="154" t="s">
        <v>194</v>
      </c>
      <c r="H58" s="154" t="s">
        <v>327</v>
      </c>
      <c r="I58" s="200" t="s">
        <v>327</v>
      </c>
      <c r="J58" s="154"/>
      <c r="K58" s="376"/>
      <c r="L58" s="156" t="s">
        <v>327</v>
      </c>
      <c r="M58" s="481"/>
      <c r="N58" s="188"/>
      <c r="O58" s="410" t="s">
        <v>327</v>
      </c>
      <c r="P58" s="502">
        <f t="shared" si="4"/>
        <v>5</v>
      </c>
      <c r="Q58" s="494">
        <f t="shared" si="5"/>
        <v>5</v>
      </c>
      <c r="R58" s="494">
        <f t="shared" si="7"/>
        <v>5</v>
      </c>
      <c r="S58" s="494">
        <f t="shared" si="8"/>
        <v>5</v>
      </c>
      <c r="T58" s="494">
        <f t="shared" si="9"/>
        <v>5</v>
      </c>
      <c r="U58" s="494">
        <f t="shared" si="10"/>
        <v>5</v>
      </c>
    </row>
    <row r="59" spans="1:21" s="8" customFormat="1">
      <c r="A59" s="204" t="s">
        <v>164</v>
      </c>
      <c r="B59" s="204" t="s">
        <v>167</v>
      </c>
      <c r="C59" s="205" t="s">
        <v>132</v>
      </c>
      <c r="D59" s="206">
        <f t="shared" si="6"/>
        <v>56</v>
      </c>
      <c r="E59" s="327"/>
      <c r="F59" s="219">
        <v>2</v>
      </c>
      <c r="G59" s="219" t="s">
        <v>654</v>
      </c>
      <c r="H59" s="219" t="s">
        <v>327</v>
      </c>
      <c r="I59" s="218">
        <v>5</v>
      </c>
      <c r="J59" s="219" t="s">
        <v>655</v>
      </c>
      <c r="K59" s="461" t="s">
        <v>327</v>
      </c>
      <c r="L59" s="479">
        <v>7</v>
      </c>
      <c r="M59" s="479" t="s">
        <v>656</v>
      </c>
      <c r="N59" s="206" t="s">
        <v>193</v>
      </c>
      <c r="O59" s="410" t="s">
        <v>327</v>
      </c>
      <c r="P59" s="501">
        <f t="shared" si="4"/>
        <v>2</v>
      </c>
      <c r="Q59" s="493">
        <f t="shared" si="5"/>
        <v>7</v>
      </c>
      <c r="R59" s="493">
        <f t="shared" si="7"/>
        <v>4.666666666666667</v>
      </c>
      <c r="S59" s="493">
        <f t="shared" si="8"/>
        <v>4.666666666666667</v>
      </c>
      <c r="T59" s="493">
        <f t="shared" si="9"/>
        <v>4.666666666666667</v>
      </c>
      <c r="U59" s="493">
        <f t="shared" si="10"/>
        <v>4.666666666666667</v>
      </c>
    </row>
    <row r="60" spans="1:21" s="8" customFormat="1">
      <c r="A60" s="186" t="s">
        <v>164</v>
      </c>
      <c r="B60" s="186" t="s">
        <v>167</v>
      </c>
      <c r="C60" s="187" t="s">
        <v>231</v>
      </c>
      <c r="D60" s="188">
        <f t="shared" si="6"/>
        <v>57</v>
      </c>
      <c r="E60" s="327"/>
      <c r="F60" s="154">
        <v>10</v>
      </c>
      <c r="G60" s="154" t="s">
        <v>652</v>
      </c>
      <c r="H60" s="154" t="s">
        <v>822</v>
      </c>
      <c r="I60" s="200" t="s">
        <v>327</v>
      </c>
      <c r="J60" s="154"/>
      <c r="K60" s="376"/>
      <c r="L60" s="481"/>
      <c r="M60" s="481"/>
      <c r="N60" s="188"/>
      <c r="O60" s="410" t="s">
        <v>327</v>
      </c>
      <c r="P60" s="502">
        <f t="shared" si="4"/>
        <v>10</v>
      </c>
      <c r="Q60" s="494">
        <f t="shared" si="5"/>
        <v>10</v>
      </c>
      <c r="R60" s="494">
        <f t="shared" si="7"/>
        <v>10</v>
      </c>
      <c r="S60" s="494">
        <f t="shared" si="8"/>
        <v>10</v>
      </c>
      <c r="T60" s="494">
        <f t="shared" si="9"/>
        <v>10</v>
      </c>
      <c r="U60" s="494">
        <f t="shared" si="10"/>
        <v>10</v>
      </c>
    </row>
    <row r="61" spans="1:21" s="8" customFormat="1">
      <c r="A61" s="204" t="s">
        <v>164</v>
      </c>
      <c r="B61" s="204" t="s">
        <v>167</v>
      </c>
      <c r="C61" s="205" t="s">
        <v>135</v>
      </c>
      <c r="D61" s="206">
        <f t="shared" si="6"/>
        <v>58</v>
      </c>
      <c r="E61" s="327"/>
      <c r="F61" s="219">
        <v>4</v>
      </c>
      <c r="G61" s="219" t="s">
        <v>649</v>
      </c>
      <c r="H61" s="219"/>
      <c r="I61" s="218">
        <v>8</v>
      </c>
      <c r="J61" s="219" t="s">
        <v>652</v>
      </c>
      <c r="K61" s="461" t="s">
        <v>823</v>
      </c>
      <c r="L61" s="479" t="s">
        <v>327</v>
      </c>
      <c r="M61" s="479"/>
      <c r="N61" s="206"/>
      <c r="O61" s="410" t="s">
        <v>327</v>
      </c>
      <c r="P61" s="501">
        <f t="shared" si="4"/>
        <v>4</v>
      </c>
      <c r="Q61" s="493">
        <f t="shared" si="5"/>
        <v>8</v>
      </c>
      <c r="R61" s="493">
        <f t="shared" si="7"/>
        <v>6</v>
      </c>
      <c r="S61" s="493">
        <f t="shared" si="8"/>
        <v>6</v>
      </c>
      <c r="T61" s="493">
        <f t="shared" si="9"/>
        <v>6</v>
      </c>
      <c r="U61" s="493">
        <f t="shared" si="10"/>
        <v>6</v>
      </c>
    </row>
    <row r="62" spans="1:21" s="8" customFormat="1">
      <c r="A62" s="529" t="s">
        <v>91</v>
      </c>
      <c r="B62" s="530" t="s">
        <v>159</v>
      </c>
      <c r="C62" s="531" t="s">
        <v>812</v>
      </c>
      <c r="D62" s="252">
        <f t="shared" si="6"/>
        <v>59</v>
      </c>
      <c r="E62" s="327"/>
      <c r="F62" s="253">
        <v>5</v>
      </c>
      <c r="G62" s="254" t="s">
        <v>352</v>
      </c>
      <c r="H62" s="254"/>
      <c r="I62" s="253"/>
      <c r="J62" s="254"/>
      <c r="K62" s="463"/>
      <c r="L62" s="526"/>
      <c r="M62" s="526"/>
      <c r="N62" s="252"/>
      <c r="O62" s="410" t="s">
        <v>327</v>
      </c>
      <c r="P62" s="527">
        <f t="shared" si="4"/>
        <v>5</v>
      </c>
      <c r="Q62" s="528">
        <f t="shared" si="5"/>
        <v>5</v>
      </c>
      <c r="R62" s="528">
        <f t="shared" si="7"/>
        <v>5</v>
      </c>
      <c r="S62" s="528">
        <f t="shared" si="8"/>
        <v>5</v>
      </c>
      <c r="T62" s="528">
        <f t="shared" si="9"/>
        <v>5</v>
      </c>
      <c r="U62" s="528">
        <f t="shared" si="10"/>
        <v>5</v>
      </c>
    </row>
    <row r="63" spans="1:21" s="8" customFormat="1">
      <c r="A63" s="204" t="s">
        <v>91</v>
      </c>
      <c r="B63" s="204" t="s">
        <v>159</v>
      </c>
      <c r="C63" s="205" t="s">
        <v>232</v>
      </c>
      <c r="D63" s="206">
        <f t="shared" si="6"/>
        <v>60</v>
      </c>
      <c r="E63" s="327"/>
      <c r="F63" s="219">
        <v>6</v>
      </c>
      <c r="G63" s="219" t="s">
        <v>352</v>
      </c>
      <c r="H63" s="219"/>
      <c r="I63" s="218"/>
      <c r="J63" s="219"/>
      <c r="K63" s="461"/>
      <c r="L63" s="479"/>
      <c r="M63" s="479"/>
      <c r="N63" s="206"/>
      <c r="O63" s="410" t="s">
        <v>327</v>
      </c>
      <c r="P63" s="501">
        <f t="shared" si="4"/>
        <v>6</v>
      </c>
      <c r="Q63" s="493">
        <f t="shared" si="5"/>
        <v>6</v>
      </c>
      <c r="R63" s="493">
        <f t="shared" si="7"/>
        <v>6</v>
      </c>
      <c r="S63" s="493">
        <f t="shared" si="8"/>
        <v>6</v>
      </c>
      <c r="T63" s="493">
        <f t="shared" si="9"/>
        <v>6</v>
      </c>
      <c r="U63" s="493">
        <f t="shared" si="10"/>
        <v>6</v>
      </c>
    </row>
    <row r="64" spans="1:21" s="8" customFormat="1">
      <c r="A64" s="529" t="s">
        <v>92</v>
      </c>
      <c r="B64" s="530" t="s">
        <v>190</v>
      </c>
      <c r="C64" s="531" t="s">
        <v>138</v>
      </c>
      <c r="D64" s="252">
        <f t="shared" si="6"/>
        <v>61</v>
      </c>
      <c r="E64" s="327"/>
      <c r="F64" s="253">
        <v>5</v>
      </c>
      <c r="G64" s="254" t="s">
        <v>652</v>
      </c>
      <c r="H64" s="254" t="s">
        <v>821</v>
      </c>
      <c r="I64" s="253">
        <v>5</v>
      </c>
      <c r="J64" s="254" t="s">
        <v>387</v>
      </c>
      <c r="K64" s="463" t="s">
        <v>327</v>
      </c>
      <c r="L64" s="526"/>
      <c r="M64" s="526"/>
      <c r="N64" s="252"/>
      <c r="O64" s="410" t="s">
        <v>327</v>
      </c>
      <c r="P64" s="527">
        <f t="shared" si="4"/>
        <v>5</v>
      </c>
      <c r="Q64" s="528">
        <f t="shared" si="5"/>
        <v>5</v>
      </c>
      <c r="R64" s="528">
        <f t="shared" si="7"/>
        <v>5</v>
      </c>
      <c r="S64" s="528">
        <f t="shared" si="8"/>
        <v>5</v>
      </c>
      <c r="T64" s="528">
        <f t="shared" si="9"/>
        <v>5</v>
      </c>
      <c r="U64" s="528">
        <f t="shared" si="10"/>
        <v>5</v>
      </c>
    </row>
    <row r="65" spans="1:21" s="8" customFormat="1">
      <c r="A65" s="532" t="s">
        <v>92</v>
      </c>
      <c r="B65" s="204" t="s">
        <v>190</v>
      </c>
      <c r="C65" s="205" t="s">
        <v>848</v>
      </c>
      <c r="D65" s="206">
        <f t="shared" si="6"/>
        <v>62</v>
      </c>
      <c r="E65" s="327"/>
      <c r="F65" s="218">
        <v>5</v>
      </c>
      <c r="G65" s="219" t="s">
        <v>652</v>
      </c>
      <c r="H65" s="219" t="s">
        <v>821</v>
      </c>
      <c r="I65" s="218" t="s">
        <v>327</v>
      </c>
      <c r="J65" s="219"/>
      <c r="K65" s="461"/>
      <c r="L65" s="479" t="s">
        <v>327</v>
      </c>
      <c r="M65" s="479"/>
      <c r="N65" s="206"/>
      <c r="O65" s="410" t="s">
        <v>327</v>
      </c>
      <c r="P65" s="488">
        <f t="shared" si="4"/>
        <v>5</v>
      </c>
      <c r="Q65" s="493">
        <f t="shared" si="5"/>
        <v>5</v>
      </c>
      <c r="R65" s="493">
        <f t="shared" si="7"/>
        <v>5</v>
      </c>
      <c r="S65" s="493">
        <f t="shared" si="8"/>
        <v>5</v>
      </c>
      <c r="T65" s="493">
        <f t="shared" si="9"/>
        <v>5</v>
      </c>
      <c r="U65" s="493">
        <f t="shared" si="10"/>
        <v>5</v>
      </c>
    </row>
    <row r="66" spans="1:21" s="8" customFormat="1">
      <c r="A66" s="533" t="s">
        <v>92</v>
      </c>
      <c r="B66" s="186" t="s">
        <v>189</v>
      </c>
      <c r="C66" s="187" t="s">
        <v>381</v>
      </c>
      <c r="D66" s="188">
        <f t="shared" si="6"/>
        <v>63</v>
      </c>
      <c r="E66" s="327"/>
      <c r="F66" s="200">
        <v>5</v>
      </c>
      <c r="G66" s="154" t="s">
        <v>652</v>
      </c>
      <c r="H66" s="154" t="s">
        <v>821</v>
      </c>
      <c r="I66" s="200">
        <v>4</v>
      </c>
      <c r="J66" s="154" t="s">
        <v>644</v>
      </c>
      <c r="K66" s="376" t="s">
        <v>327</v>
      </c>
      <c r="L66" s="410" t="s">
        <v>327</v>
      </c>
      <c r="M66" s="481"/>
      <c r="N66" s="188"/>
      <c r="O66" s="410" t="s">
        <v>327</v>
      </c>
      <c r="P66" s="489">
        <f t="shared" si="4"/>
        <v>4</v>
      </c>
      <c r="Q66" s="494">
        <f t="shared" si="5"/>
        <v>5</v>
      </c>
      <c r="R66" s="494">
        <f t="shared" si="7"/>
        <v>4.5</v>
      </c>
      <c r="S66" s="494">
        <f t="shared" si="8"/>
        <v>4.5</v>
      </c>
      <c r="T66" s="494">
        <f t="shared" si="9"/>
        <v>4.5</v>
      </c>
      <c r="U66" s="494">
        <f t="shared" si="10"/>
        <v>4.5</v>
      </c>
    </row>
    <row r="67" spans="1:21" s="8" customFormat="1" ht="12.75" customHeight="1">
      <c r="A67" s="532" t="s">
        <v>92</v>
      </c>
      <c r="B67" s="204" t="s">
        <v>189</v>
      </c>
      <c r="C67" s="205" t="s">
        <v>136</v>
      </c>
      <c r="D67" s="206">
        <f t="shared" si="6"/>
        <v>64</v>
      </c>
      <c r="E67" s="327"/>
      <c r="F67" s="218">
        <v>5</v>
      </c>
      <c r="G67" s="219" t="s">
        <v>652</v>
      </c>
      <c r="H67" s="219" t="s">
        <v>821</v>
      </c>
      <c r="I67" s="218" t="s">
        <v>327</v>
      </c>
      <c r="J67" s="219"/>
      <c r="K67" s="461"/>
      <c r="L67" s="479" t="s">
        <v>327</v>
      </c>
      <c r="M67" s="479"/>
      <c r="N67" s="206"/>
      <c r="O67" s="410" t="s">
        <v>327</v>
      </c>
      <c r="P67" s="488">
        <f t="shared" si="4"/>
        <v>5</v>
      </c>
      <c r="Q67" s="493">
        <f t="shared" si="5"/>
        <v>5</v>
      </c>
      <c r="R67" s="493">
        <f t="shared" si="7"/>
        <v>5</v>
      </c>
      <c r="S67" s="493">
        <f t="shared" si="8"/>
        <v>5</v>
      </c>
      <c r="T67" s="493">
        <f t="shared" si="9"/>
        <v>5</v>
      </c>
      <c r="U67" s="493">
        <f t="shared" si="10"/>
        <v>5</v>
      </c>
    </row>
    <row r="68" spans="1:21" s="8" customFormat="1">
      <c r="A68" s="533" t="s">
        <v>92</v>
      </c>
      <c r="B68" s="186" t="s">
        <v>189</v>
      </c>
      <c r="C68" s="187" t="s">
        <v>137</v>
      </c>
      <c r="D68" s="188">
        <f t="shared" si="6"/>
        <v>65</v>
      </c>
      <c r="E68" s="327"/>
      <c r="F68" s="200">
        <v>5</v>
      </c>
      <c r="G68" s="154" t="s">
        <v>652</v>
      </c>
      <c r="H68" s="154" t="s">
        <v>821</v>
      </c>
      <c r="I68" s="200">
        <f>((6600000*3)+(2200000*4))/(2200000+6600000)</f>
        <v>3.25</v>
      </c>
      <c r="J68" s="154" t="s">
        <v>644</v>
      </c>
      <c r="K68" s="376" t="s">
        <v>373</v>
      </c>
      <c r="L68" s="481" t="s">
        <v>327</v>
      </c>
      <c r="M68" s="481"/>
      <c r="N68" s="188"/>
      <c r="O68" s="410" t="s">
        <v>327</v>
      </c>
      <c r="P68" s="489">
        <f t="shared" si="4"/>
        <v>3.25</v>
      </c>
      <c r="Q68" s="494">
        <f t="shared" si="5"/>
        <v>5</v>
      </c>
      <c r="R68" s="494">
        <f t="shared" si="7"/>
        <v>4.125</v>
      </c>
      <c r="S68" s="494">
        <f t="shared" si="8"/>
        <v>4.125</v>
      </c>
      <c r="T68" s="494">
        <f t="shared" si="9"/>
        <v>4.125</v>
      </c>
      <c r="U68" s="494">
        <f t="shared" si="10"/>
        <v>4.125</v>
      </c>
    </row>
    <row r="69" spans="1:21" s="8" customFormat="1">
      <c r="A69" s="532" t="s">
        <v>92</v>
      </c>
      <c r="B69" s="204" t="s">
        <v>376</v>
      </c>
      <c r="C69" s="205" t="s">
        <v>781</v>
      </c>
      <c r="D69" s="206">
        <f t="shared" si="6"/>
        <v>66</v>
      </c>
      <c r="E69" s="327"/>
      <c r="F69" s="218">
        <v>8</v>
      </c>
      <c r="G69" s="219" t="s">
        <v>378</v>
      </c>
      <c r="H69" s="219" t="s">
        <v>327</v>
      </c>
      <c r="I69" s="218" t="s">
        <v>327</v>
      </c>
      <c r="J69" s="219"/>
      <c r="K69" s="461"/>
      <c r="L69" s="479"/>
      <c r="M69" s="479"/>
      <c r="N69" s="206"/>
      <c r="O69" s="410" t="s">
        <v>327</v>
      </c>
      <c r="P69" s="488">
        <f t="shared" ref="P69:P82" si="11">MIN(F69,I69,L69)</f>
        <v>8</v>
      </c>
      <c r="Q69" s="493">
        <f t="shared" ref="Q69:Q82" si="12">MAX(F69,I69,L69)</f>
        <v>8</v>
      </c>
      <c r="R69" s="493">
        <f t="shared" si="7"/>
        <v>8</v>
      </c>
      <c r="S69" s="493">
        <f t="shared" si="8"/>
        <v>8</v>
      </c>
      <c r="T69" s="493">
        <f t="shared" si="9"/>
        <v>8</v>
      </c>
      <c r="U69" s="493">
        <f t="shared" si="10"/>
        <v>8</v>
      </c>
    </row>
    <row r="70" spans="1:21" s="8" customFormat="1">
      <c r="A70" s="533" t="s">
        <v>92</v>
      </c>
      <c r="B70" s="186" t="s">
        <v>376</v>
      </c>
      <c r="C70" s="187" t="s">
        <v>782</v>
      </c>
      <c r="D70" s="188">
        <f t="shared" ref="D70:D82" si="13">D69+1</f>
        <v>67</v>
      </c>
      <c r="E70" s="327"/>
      <c r="F70" s="200">
        <v>11</v>
      </c>
      <c r="G70" s="154" t="s">
        <v>379</v>
      </c>
      <c r="H70" s="154" t="s">
        <v>380</v>
      </c>
      <c r="I70" s="200" t="s">
        <v>327</v>
      </c>
      <c r="J70" s="154"/>
      <c r="K70" s="376"/>
      <c r="L70" s="410"/>
      <c r="M70" s="481"/>
      <c r="N70" s="188"/>
      <c r="O70" s="410" t="s">
        <v>327</v>
      </c>
      <c r="P70" s="489">
        <f t="shared" si="11"/>
        <v>11</v>
      </c>
      <c r="Q70" s="494">
        <f t="shared" si="12"/>
        <v>11</v>
      </c>
      <c r="R70" s="494">
        <f t="shared" si="7"/>
        <v>11</v>
      </c>
      <c r="S70" s="494">
        <f t="shared" si="8"/>
        <v>11</v>
      </c>
      <c r="T70" s="494">
        <f t="shared" si="9"/>
        <v>11</v>
      </c>
      <c r="U70" s="494">
        <f t="shared" si="10"/>
        <v>11</v>
      </c>
    </row>
    <row r="71" spans="1:21" s="8" customFormat="1" ht="12.75" customHeight="1">
      <c r="A71" s="532" t="s">
        <v>92</v>
      </c>
      <c r="B71" s="204" t="s">
        <v>376</v>
      </c>
      <c r="C71" s="205" t="s">
        <v>780</v>
      </c>
      <c r="D71" s="206">
        <f t="shared" si="13"/>
        <v>68</v>
      </c>
      <c r="E71" s="327"/>
      <c r="F71" s="218">
        <v>11</v>
      </c>
      <c r="G71" s="219" t="s">
        <v>379</v>
      </c>
      <c r="H71" s="219" t="s">
        <v>380</v>
      </c>
      <c r="I71" s="218" t="s">
        <v>327</v>
      </c>
      <c r="J71" s="219"/>
      <c r="K71" s="461"/>
      <c r="L71" s="479"/>
      <c r="M71" s="479"/>
      <c r="N71" s="206"/>
      <c r="O71" s="410" t="s">
        <v>327</v>
      </c>
      <c r="P71" s="488">
        <f t="shared" si="11"/>
        <v>11</v>
      </c>
      <c r="Q71" s="493">
        <f t="shared" si="12"/>
        <v>11</v>
      </c>
      <c r="R71" s="493">
        <f t="shared" si="7"/>
        <v>11</v>
      </c>
      <c r="S71" s="493">
        <f t="shared" si="8"/>
        <v>11</v>
      </c>
      <c r="T71" s="493">
        <f t="shared" si="9"/>
        <v>11</v>
      </c>
      <c r="U71" s="493">
        <f t="shared" si="10"/>
        <v>11</v>
      </c>
    </row>
    <row r="72" spans="1:21" s="8" customFormat="1">
      <c r="A72" s="476" t="s">
        <v>92</v>
      </c>
      <c r="B72" s="256" t="s">
        <v>376</v>
      </c>
      <c r="C72" s="257" t="s">
        <v>625</v>
      </c>
      <c r="D72" s="258">
        <f t="shared" si="13"/>
        <v>69</v>
      </c>
      <c r="E72" s="327"/>
      <c r="F72" s="267">
        <v>11</v>
      </c>
      <c r="G72" s="268" t="s">
        <v>379</v>
      </c>
      <c r="H72" s="268" t="s">
        <v>380</v>
      </c>
      <c r="I72" s="267" t="s">
        <v>327</v>
      </c>
      <c r="J72" s="268"/>
      <c r="K72" s="464"/>
      <c r="L72" s="422"/>
      <c r="M72" s="519"/>
      <c r="N72" s="258"/>
      <c r="O72" s="410" t="s">
        <v>327</v>
      </c>
      <c r="P72" s="487">
        <f t="shared" si="11"/>
        <v>11</v>
      </c>
      <c r="Q72" s="495">
        <f t="shared" si="12"/>
        <v>11</v>
      </c>
      <c r="R72" s="495">
        <f t="shared" si="7"/>
        <v>11</v>
      </c>
      <c r="S72" s="495">
        <f t="shared" si="8"/>
        <v>11</v>
      </c>
      <c r="T72" s="495">
        <f t="shared" si="9"/>
        <v>11</v>
      </c>
      <c r="U72" s="495">
        <f t="shared" si="10"/>
        <v>11</v>
      </c>
    </row>
    <row r="73" spans="1:21" s="8" customFormat="1">
      <c r="A73" s="204" t="s">
        <v>169</v>
      </c>
      <c r="B73" s="204" t="s">
        <v>159</v>
      </c>
      <c r="C73" s="205" t="s">
        <v>139</v>
      </c>
      <c r="D73" s="206">
        <f t="shared" si="13"/>
        <v>70</v>
      </c>
      <c r="E73" s="327"/>
      <c r="F73" s="218">
        <v>5</v>
      </c>
      <c r="G73" s="219" t="s">
        <v>387</v>
      </c>
      <c r="H73" s="219" t="s">
        <v>389</v>
      </c>
      <c r="I73" s="218">
        <v>7.7</v>
      </c>
      <c r="J73" s="219" t="s">
        <v>652</v>
      </c>
      <c r="K73" s="461" t="s">
        <v>820</v>
      </c>
      <c r="L73" s="479">
        <v>5</v>
      </c>
      <c r="M73" s="479" t="s">
        <v>657</v>
      </c>
      <c r="N73" s="206" t="s">
        <v>327</v>
      </c>
      <c r="O73" s="410" t="s">
        <v>327</v>
      </c>
      <c r="P73" s="488">
        <f t="shared" si="11"/>
        <v>5</v>
      </c>
      <c r="Q73" s="493">
        <f t="shared" si="12"/>
        <v>7.7</v>
      </c>
      <c r="R73" s="493">
        <f t="shared" si="7"/>
        <v>5.8999999999999995</v>
      </c>
      <c r="S73" s="493">
        <f t="shared" si="8"/>
        <v>5.8999999999999995</v>
      </c>
      <c r="T73" s="493">
        <f t="shared" si="9"/>
        <v>5.8999999999999995</v>
      </c>
      <c r="U73" s="493">
        <f t="shared" si="10"/>
        <v>5.8999999999999995</v>
      </c>
    </row>
    <row r="74" spans="1:21" s="8" customFormat="1">
      <c r="A74" s="186" t="s">
        <v>169</v>
      </c>
      <c r="B74" s="186" t="s">
        <v>159</v>
      </c>
      <c r="C74" s="187" t="s">
        <v>140</v>
      </c>
      <c r="D74" s="188">
        <f t="shared" si="13"/>
        <v>71</v>
      </c>
      <c r="E74" s="327"/>
      <c r="F74" s="200">
        <v>5</v>
      </c>
      <c r="G74" s="154" t="s">
        <v>387</v>
      </c>
      <c r="H74" s="154" t="s">
        <v>389</v>
      </c>
      <c r="I74" s="200">
        <v>7.7</v>
      </c>
      <c r="J74" s="154" t="s">
        <v>652</v>
      </c>
      <c r="K74" s="376" t="s">
        <v>820</v>
      </c>
      <c r="L74" s="481">
        <v>5</v>
      </c>
      <c r="M74" s="481" t="s">
        <v>657</v>
      </c>
      <c r="N74" s="188" t="s">
        <v>327</v>
      </c>
      <c r="O74" s="410" t="s">
        <v>327</v>
      </c>
      <c r="P74" s="489">
        <f t="shared" si="11"/>
        <v>5</v>
      </c>
      <c r="Q74" s="494">
        <f t="shared" si="12"/>
        <v>7.7</v>
      </c>
      <c r="R74" s="494">
        <f t="shared" si="7"/>
        <v>5.8999999999999995</v>
      </c>
      <c r="S74" s="494">
        <f t="shared" si="8"/>
        <v>5.8999999999999995</v>
      </c>
      <c r="T74" s="494">
        <f t="shared" si="9"/>
        <v>5.8999999999999995</v>
      </c>
      <c r="U74" s="494">
        <f t="shared" si="10"/>
        <v>5.8999999999999995</v>
      </c>
    </row>
    <row r="75" spans="1:21" s="8" customFormat="1">
      <c r="A75" s="223" t="s">
        <v>169</v>
      </c>
      <c r="B75" s="223" t="s">
        <v>159</v>
      </c>
      <c r="C75" s="224" t="s">
        <v>141</v>
      </c>
      <c r="D75" s="225">
        <f t="shared" si="13"/>
        <v>72</v>
      </c>
      <c r="E75" s="327"/>
      <c r="F75" s="232">
        <v>3</v>
      </c>
      <c r="G75" s="233" t="s">
        <v>387</v>
      </c>
      <c r="H75" s="233" t="s">
        <v>388</v>
      </c>
      <c r="I75" s="232">
        <v>7.7</v>
      </c>
      <c r="J75" s="233" t="s">
        <v>652</v>
      </c>
      <c r="K75" s="462" t="s">
        <v>820</v>
      </c>
      <c r="L75" s="484">
        <v>1.5</v>
      </c>
      <c r="M75" s="484" t="s">
        <v>1247</v>
      </c>
      <c r="N75" s="840" t="s">
        <v>1240</v>
      </c>
      <c r="O75" s="410" t="s">
        <v>327</v>
      </c>
      <c r="P75" s="490">
        <f t="shared" si="11"/>
        <v>1.5</v>
      </c>
      <c r="Q75" s="496">
        <f t="shared" si="12"/>
        <v>7.7</v>
      </c>
      <c r="R75" s="496">
        <f t="shared" si="7"/>
        <v>4.0666666666666664</v>
      </c>
      <c r="S75" s="496">
        <f t="shared" si="8"/>
        <v>4.0666666666666664</v>
      </c>
      <c r="T75" s="496">
        <f>F75</f>
        <v>3</v>
      </c>
      <c r="U75" s="496">
        <f>F75</f>
        <v>3</v>
      </c>
    </row>
    <row r="76" spans="1:21" s="8" customFormat="1">
      <c r="A76" s="186" t="s">
        <v>90</v>
      </c>
      <c r="B76" s="186" t="s">
        <v>89</v>
      </c>
      <c r="C76" s="187" t="s">
        <v>172</v>
      </c>
      <c r="D76" s="188">
        <f t="shared" si="13"/>
        <v>73</v>
      </c>
      <c r="E76" s="327"/>
      <c r="F76" s="154">
        <v>9.6999999999999993</v>
      </c>
      <c r="G76" s="154" t="s">
        <v>652</v>
      </c>
      <c r="H76" s="154" t="s">
        <v>818</v>
      </c>
      <c r="I76" s="200" t="s">
        <v>327</v>
      </c>
      <c r="J76" s="154"/>
      <c r="K76" s="376"/>
      <c r="L76" s="156"/>
      <c r="M76" s="481"/>
      <c r="N76" s="188"/>
      <c r="O76" s="410" t="s">
        <v>327</v>
      </c>
      <c r="P76" s="502">
        <f t="shared" si="11"/>
        <v>9.6999999999999993</v>
      </c>
      <c r="Q76" s="494">
        <f t="shared" si="12"/>
        <v>9.6999999999999993</v>
      </c>
      <c r="R76" s="494">
        <f t="shared" si="7"/>
        <v>9.6999999999999993</v>
      </c>
      <c r="S76" s="494">
        <f t="shared" si="8"/>
        <v>9.6999999999999993</v>
      </c>
      <c r="T76" s="494">
        <f>AVERAGE(F76,I76,L76)</f>
        <v>9.6999999999999993</v>
      </c>
      <c r="U76" s="494">
        <f>AVERAGE(F76,I76,L76)</f>
        <v>9.6999999999999993</v>
      </c>
    </row>
    <row r="77" spans="1:21" s="8" customFormat="1">
      <c r="A77" s="204" t="s">
        <v>90</v>
      </c>
      <c r="B77" s="204" t="s">
        <v>89</v>
      </c>
      <c r="C77" s="205" t="s">
        <v>142</v>
      </c>
      <c r="D77" s="206">
        <f t="shared" si="13"/>
        <v>74</v>
      </c>
      <c r="E77" s="327"/>
      <c r="F77" s="219">
        <v>9.6999999999999993</v>
      </c>
      <c r="G77" s="219" t="s">
        <v>652</v>
      </c>
      <c r="H77" s="219" t="s">
        <v>818</v>
      </c>
      <c r="I77" s="218" t="s">
        <v>327</v>
      </c>
      <c r="J77" s="219"/>
      <c r="K77" s="461"/>
      <c r="L77" s="479"/>
      <c r="M77" s="479"/>
      <c r="N77" s="206"/>
      <c r="O77" s="410" t="s">
        <v>327</v>
      </c>
      <c r="P77" s="501">
        <f t="shared" si="11"/>
        <v>9.6999999999999993</v>
      </c>
      <c r="Q77" s="493">
        <f t="shared" si="12"/>
        <v>9.6999999999999993</v>
      </c>
      <c r="R77" s="493">
        <f t="shared" si="7"/>
        <v>9.6999999999999993</v>
      </c>
      <c r="S77" s="493">
        <f t="shared" si="8"/>
        <v>9.6999999999999993</v>
      </c>
      <c r="T77" s="493">
        <f>AVERAGE(F77,I77,L77)</f>
        <v>9.6999999999999993</v>
      </c>
      <c r="U77" s="493">
        <f>AVERAGE(F77,I77,L77)</f>
        <v>9.6999999999999993</v>
      </c>
    </row>
    <row r="78" spans="1:21" s="8" customFormat="1">
      <c r="A78" s="186" t="s">
        <v>90</v>
      </c>
      <c r="B78" s="186" t="s">
        <v>89</v>
      </c>
      <c r="C78" s="187" t="s">
        <v>143</v>
      </c>
      <c r="D78" s="188">
        <f t="shared" si="13"/>
        <v>75</v>
      </c>
      <c r="E78" s="327"/>
      <c r="F78" s="154">
        <v>10</v>
      </c>
      <c r="G78" s="154" t="s">
        <v>652</v>
      </c>
      <c r="H78" s="154" t="s">
        <v>819</v>
      </c>
      <c r="I78" s="535">
        <v>3.5</v>
      </c>
      <c r="J78" s="154" t="s">
        <v>850</v>
      </c>
      <c r="K78" s="376" t="s">
        <v>851</v>
      </c>
      <c r="L78" s="481">
        <v>6.5</v>
      </c>
      <c r="M78" s="481" t="s">
        <v>815</v>
      </c>
      <c r="N78" s="534" t="s">
        <v>852</v>
      </c>
      <c r="O78" s="410" t="s">
        <v>327</v>
      </c>
      <c r="P78" s="502">
        <f t="shared" si="11"/>
        <v>3.5</v>
      </c>
      <c r="Q78" s="494">
        <f t="shared" si="12"/>
        <v>10</v>
      </c>
      <c r="R78" s="494">
        <f>L78</f>
        <v>6.5</v>
      </c>
      <c r="S78" s="494">
        <f>I78</f>
        <v>3.5</v>
      </c>
      <c r="T78" s="494">
        <f>L78</f>
        <v>6.5</v>
      </c>
      <c r="U78" s="494">
        <f>I78</f>
        <v>3.5</v>
      </c>
    </row>
    <row r="79" spans="1:21" s="8" customFormat="1">
      <c r="A79" s="240" t="s">
        <v>90</v>
      </c>
      <c r="B79" s="204" t="s">
        <v>89</v>
      </c>
      <c r="C79" s="205" t="s">
        <v>144</v>
      </c>
      <c r="D79" s="206">
        <f t="shared" si="13"/>
        <v>76</v>
      </c>
      <c r="E79" s="327"/>
      <c r="F79" s="219">
        <v>4</v>
      </c>
      <c r="G79" s="219" t="s">
        <v>192</v>
      </c>
      <c r="H79" s="219" t="s">
        <v>327</v>
      </c>
      <c r="I79" s="218" t="s">
        <v>327</v>
      </c>
      <c r="J79" s="219"/>
      <c r="K79" s="461"/>
      <c r="L79" s="290"/>
      <c r="M79" s="479"/>
      <c r="N79" s="206"/>
      <c r="O79" s="410" t="s">
        <v>327</v>
      </c>
      <c r="P79" s="501">
        <f t="shared" si="11"/>
        <v>4</v>
      </c>
      <c r="Q79" s="493">
        <f t="shared" si="12"/>
        <v>4</v>
      </c>
      <c r="R79" s="493">
        <f>AVERAGE(F79,I79,L79)</f>
        <v>4</v>
      </c>
      <c r="S79" s="493">
        <f>AVERAGE(F79,I79,L79)</f>
        <v>4</v>
      </c>
      <c r="T79" s="493">
        <f>AVERAGE(F79,I79,L79)</f>
        <v>4</v>
      </c>
      <c r="U79" s="493">
        <f>AVERAGE(F79,I79,L79)</f>
        <v>4</v>
      </c>
    </row>
    <row r="80" spans="1:21" s="8" customFormat="1">
      <c r="A80" s="275" t="s">
        <v>90</v>
      </c>
      <c r="B80" s="186" t="s">
        <v>93</v>
      </c>
      <c r="C80" s="187" t="s">
        <v>233</v>
      </c>
      <c r="D80" s="188">
        <f t="shared" si="13"/>
        <v>77</v>
      </c>
      <c r="E80" s="327"/>
      <c r="F80" s="154">
        <v>9.6999999999999993</v>
      </c>
      <c r="G80" s="154" t="s">
        <v>652</v>
      </c>
      <c r="H80" s="154" t="s">
        <v>818</v>
      </c>
      <c r="I80" s="200" t="s">
        <v>327</v>
      </c>
      <c r="J80" s="154"/>
      <c r="K80" s="478"/>
      <c r="L80" s="156"/>
      <c r="M80" s="154"/>
      <c r="N80" s="188"/>
      <c r="O80" s="410" t="s">
        <v>327</v>
      </c>
      <c r="P80" s="502">
        <f t="shared" si="11"/>
        <v>9.6999999999999993</v>
      </c>
      <c r="Q80" s="494">
        <f t="shared" si="12"/>
        <v>9.6999999999999993</v>
      </c>
      <c r="R80" s="494">
        <f>AVERAGE(F80,I80,L80)</f>
        <v>9.6999999999999993</v>
      </c>
      <c r="S80" s="494">
        <f>AVERAGE(F80,I80,L80)</f>
        <v>9.6999999999999993</v>
      </c>
      <c r="T80" s="494">
        <f>AVERAGE(F80,I80,L80)</f>
        <v>9.6999999999999993</v>
      </c>
      <c r="U80" s="494">
        <f>AVERAGE(F80,I80,L80)</f>
        <v>9.6999999999999993</v>
      </c>
    </row>
    <row r="81" spans="1:21" s="8" customFormat="1">
      <c r="A81" s="240" t="s">
        <v>90</v>
      </c>
      <c r="B81" s="204" t="s">
        <v>93</v>
      </c>
      <c r="C81" s="205" t="s">
        <v>234</v>
      </c>
      <c r="D81" s="206">
        <f t="shared" si="13"/>
        <v>78</v>
      </c>
      <c r="E81" s="327"/>
      <c r="F81" s="485">
        <v>9.6999999999999993</v>
      </c>
      <c r="G81" s="485" t="s">
        <v>652</v>
      </c>
      <c r="H81" s="485" t="s">
        <v>818</v>
      </c>
      <c r="I81" s="491" t="s">
        <v>327</v>
      </c>
      <c r="J81" s="485"/>
      <c r="K81" s="492"/>
      <c r="L81" s="293"/>
      <c r="M81" s="293"/>
      <c r="N81" s="206"/>
      <c r="O81" s="410" t="s">
        <v>327</v>
      </c>
      <c r="P81" s="505">
        <f t="shared" si="11"/>
        <v>9.6999999999999993</v>
      </c>
      <c r="Q81" s="497">
        <f t="shared" si="12"/>
        <v>9.6999999999999993</v>
      </c>
      <c r="R81" s="497">
        <f>AVERAGE(F81,I81,L81)</f>
        <v>9.6999999999999993</v>
      </c>
      <c r="S81" s="497">
        <f>AVERAGE(F81,I81,L81)</f>
        <v>9.6999999999999993</v>
      </c>
      <c r="T81" s="497">
        <f>AVERAGE(F81,I81,L81)</f>
        <v>9.6999999999999993</v>
      </c>
      <c r="U81" s="497">
        <f>AVERAGE(F81,I81,L81)</f>
        <v>9.6999999999999993</v>
      </c>
    </row>
    <row r="82" spans="1:21" s="8" customFormat="1" ht="13.5" thickBot="1">
      <c r="A82" s="276" t="s">
        <v>90</v>
      </c>
      <c r="B82" s="256" t="s">
        <v>217</v>
      </c>
      <c r="C82" s="257" t="s">
        <v>216</v>
      </c>
      <c r="D82" s="258">
        <f t="shared" si="13"/>
        <v>79</v>
      </c>
      <c r="E82" s="327"/>
      <c r="F82" s="268">
        <v>10</v>
      </c>
      <c r="G82" s="268" t="s">
        <v>817</v>
      </c>
      <c r="H82" s="268" t="s">
        <v>816</v>
      </c>
      <c r="I82" s="267" t="s">
        <v>327</v>
      </c>
      <c r="J82" s="268"/>
      <c r="K82" s="464"/>
      <c r="L82" s="292"/>
      <c r="M82" s="519"/>
      <c r="N82" s="258"/>
      <c r="O82" s="410" t="s">
        <v>327</v>
      </c>
      <c r="P82" s="506">
        <f t="shared" si="11"/>
        <v>10</v>
      </c>
      <c r="Q82" s="507">
        <f t="shared" si="12"/>
        <v>10</v>
      </c>
      <c r="R82" s="507">
        <f>AVERAGE(F82,I82,L82)</f>
        <v>10</v>
      </c>
      <c r="S82" s="507">
        <f>AVERAGE(F82,I82,L82)</f>
        <v>10</v>
      </c>
      <c r="T82" s="507">
        <f>AVERAGE(F82,I82,L82)</f>
        <v>10</v>
      </c>
      <c r="U82" s="507">
        <f>AVERAGE(F82,I82,L82)</f>
        <v>10</v>
      </c>
    </row>
    <row r="85" spans="1:21">
      <c r="D85" s="10"/>
      <c r="E85" s="10"/>
      <c r="F85" s="19"/>
      <c r="G85" s="10"/>
      <c r="H85" s="10"/>
      <c r="I85" s="10"/>
      <c r="J85" s="10"/>
    </row>
    <row r="86" spans="1:21" s="8" customFormat="1">
      <c r="A86" s="148"/>
      <c r="B86" s="27"/>
      <c r="D86" s="10"/>
      <c r="E86" s="10"/>
      <c r="F86" s="520"/>
      <c r="G86" s="520"/>
      <c r="H86" s="520"/>
      <c r="I86" s="10"/>
      <c r="J86" s="10"/>
      <c r="O86" s="410" t="s">
        <v>327</v>
      </c>
      <c r="P86" s="298"/>
    </row>
    <row r="87" spans="1:21">
      <c r="D87" s="10"/>
      <c r="E87" s="10"/>
      <c r="F87" s="520"/>
      <c r="G87" s="520"/>
      <c r="H87" s="520"/>
      <c r="I87" s="10"/>
      <c r="J87" s="10"/>
    </row>
    <row r="88" spans="1:21">
      <c r="D88" s="10"/>
      <c r="E88" s="10"/>
      <c r="F88" s="521"/>
      <c r="G88" s="521"/>
      <c r="H88" s="521"/>
      <c r="I88" s="10"/>
      <c r="J88" s="10"/>
    </row>
    <row r="89" spans="1:21">
      <c r="D89" s="10"/>
      <c r="E89" s="10"/>
      <c r="F89" s="520"/>
      <c r="G89" s="520"/>
      <c r="H89" s="520"/>
      <c r="I89" s="10"/>
      <c r="J89" s="10"/>
      <c r="K89" s="10"/>
      <c r="L89" s="10"/>
      <c r="M89" s="10"/>
      <c r="N89" s="10"/>
      <c r="O89" s="10"/>
      <c r="P89" s="525"/>
      <c r="Q89" s="10"/>
      <c r="R89" s="10"/>
    </row>
    <row r="90" spans="1:21">
      <c r="D90" s="10"/>
      <c r="E90" s="10"/>
      <c r="F90" s="19"/>
      <c r="G90" s="10"/>
      <c r="H90" s="10"/>
      <c r="I90" s="10"/>
      <c r="J90" s="10"/>
      <c r="K90" s="10"/>
      <c r="L90" s="10"/>
      <c r="M90" s="10"/>
      <c r="N90" s="10"/>
      <c r="O90" s="10"/>
      <c r="P90" s="525"/>
      <c r="Q90" s="10"/>
      <c r="R90" s="10"/>
    </row>
    <row r="91" spans="1:21">
      <c r="D91" s="10"/>
      <c r="E91" s="10"/>
      <c r="F91" s="19"/>
      <c r="G91" s="10"/>
      <c r="H91" s="10"/>
      <c r="I91" s="10"/>
      <c r="J91" s="10"/>
      <c r="K91" s="10"/>
      <c r="L91" s="10"/>
      <c r="M91" s="10"/>
      <c r="N91" s="10"/>
      <c r="O91" s="10"/>
      <c r="P91" s="525"/>
      <c r="Q91" s="10"/>
      <c r="R91" s="10"/>
    </row>
    <row r="92" spans="1:21">
      <c r="D92" s="10"/>
      <c r="E92" s="10"/>
      <c r="F92" s="521"/>
      <c r="G92" s="521"/>
      <c r="H92" s="521"/>
      <c r="I92" s="521"/>
      <c r="J92" s="521"/>
      <c r="K92" s="521"/>
      <c r="L92" s="524"/>
      <c r="M92" s="524"/>
      <c r="N92" s="12"/>
      <c r="O92" s="10"/>
      <c r="P92" s="413"/>
      <c r="Q92" s="6"/>
      <c r="R92" s="10"/>
    </row>
    <row r="93" spans="1:21">
      <c r="D93" s="10"/>
      <c r="E93" s="10"/>
      <c r="F93" s="520"/>
      <c r="G93" s="520"/>
      <c r="H93" s="520"/>
      <c r="I93" s="520"/>
      <c r="J93" s="520"/>
      <c r="K93" s="520"/>
      <c r="L93" s="524"/>
      <c r="M93" s="413"/>
      <c r="N93" s="12"/>
      <c r="O93" s="10"/>
      <c r="P93" s="413"/>
      <c r="Q93" s="10"/>
      <c r="R93" s="10"/>
    </row>
    <row r="94" spans="1:21">
      <c r="D94" s="10"/>
      <c r="E94" s="10"/>
      <c r="F94" s="520"/>
      <c r="G94" s="520"/>
      <c r="H94" s="520"/>
      <c r="I94" s="520"/>
      <c r="J94" s="520"/>
      <c r="K94" s="520"/>
      <c r="L94" s="413"/>
      <c r="M94" s="413"/>
      <c r="N94" s="12"/>
      <c r="O94" s="10"/>
      <c r="P94" s="413"/>
      <c r="Q94" s="413"/>
      <c r="R94" s="10"/>
    </row>
    <row r="95" spans="1:21">
      <c r="D95" s="10"/>
      <c r="E95" s="10"/>
      <c r="F95" s="520"/>
      <c r="G95" s="520"/>
      <c r="H95" s="520"/>
      <c r="I95" s="520"/>
      <c r="J95" s="520"/>
      <c r="K95" s="520"/>
      <c r="L95" s="524"/>
      <c r="M95" s="413"/>
      <c r="N95" s="12"/>
      <c r="O95" s="10"/>
      <c r="P95" s="413"/>
      <c r="Q95" s="10"/>
      <c r="R95" s="10"/>
    </row>
    <row r="96" spans="1:21">
      <c r="D96" s="10"/>
      <c r="E96" s="10"/>
      <c r="F96" s="19"/>
      <c r="G96" s="10"/>
      <c r="H96" s="10"/>
      <c r="I96" s="10"/>
      <c r="J96" s="10"/>
      <c r="K96" s="10"/>
      <c r="L96" s="10"/>
      <c r="M96" s="10"/>
      <c r="N96" s="10"/>
      <c r="O96" s="10"/>
      <c r="P96" s="413"/>
      <c r="Q96" s="413"/>
      <c r="R96" s="10"/>
    </row>
    <row r="97" spans="4:18">
      <c r="D97" s="10"/>
      <c r="E97" s="10"/>
      <c r="F97" s="19"/>
      <c r="G97" s="10"/>
      <c r="H97" s="10"/>
      <c r="I97" s="10"/>
      <c r="J97" s="10"/>
      <c r="K97" s="10"/>
      <c r="L97" s="10"/>
      <c r="M97" s="10"/>
      <c r="N97" s="10"/>
      <c r="O97" s="10"/>
      <c r="P97" s="413"/>
      <c r="Q97" s="10"/>
      <c r="R97" s="10"/>
    </row>
    <row r="98" spans="4:18">
      <c r="D98" s="10"/>
      <c r="E98" s="10"/>
      <c r="F98" s="19"/>
      <c r="G98" s="10"/>
      <c r="H98" s="10"/>
      <c r="I98" s="10"/>
      <c r="J98" s="10"/>
      <c r="K98" s="10"/>
      <c r="L98" s="10"/>
      <c r="M98" s="10"/>
      <c r="N98" s="10"/>
      <c r="O98" s="10"/>
      <c r="P98" s="413"/>
      <c r="Q98" s="10"/>
      <c r="R98" s="10"/>
    </row>
    <row r="99" spans="4:18">
      <c r="D99" s="10"/>
      <c r="E99" s="10"/>
      <c r="F99" s="520"/>
      <c r="G99" s="520"/>
      <c r="H99" s="520"/>
      <c r="I99" s="520"/>
      <c r="J99" s="520"/>
      <c r="K99" s="520"/>
      <c r="L99" s="10"/>
      <c r="M99" s="10"/>
      <c r="N99" s="10"/>
      <c r="O99" s="10"/>
      <c r="P99" s="525"/>
      <c r="Q99" s="10"/>
      <c r="R99" s="10"/>
    </row>
    <row r="100" spans="4:18">
      <c r="D100" s="10"/>
      <c r="E100" s="10"/>
      <c r="F100" s="520"/>
      <c r="G100" s="520"/>
      <c r="H100" s="520"/>
      <c r="I100" s="520"/>
      <c r="J100" s="520"/>
      <c r="K100" s="520"/>
      <c r="L100" s="10"/>
      <c r="M100" s="10"/>
      <c r="N100" s="10"/>
      <c r="O100" s="10"/>
      <c r="P100" s="525"/>
      <c r="Q100" s="10"/>
      <c r="R100" s="10"/>
    </row>
    <row r="101" spans="4:18">
      <c r="D101" s="10"/>
      <c r="E101" s="10"/>
      <c r="F101" s="520"/>
      <c r="G101" s="520"/>
      <c r="H101" s="520"/>
      <c r="I101" s="520"/>
      <c r="J101" s="520"/>
      <c r="K101" s="520"/>
      <c r="L101" s="10"/>
      <c r="M101" s="10"/>
      <c r="N101" s="10"/>
      <c r="O101" s="10"/>
      <c r="P101" s="525"/>
      <c r="Q101" s="10"/>
      <c r="R101" s="10"/>
    </row>
    <row r="102" spans="4:18">
      <c r="D102" s="10"/>
      <c r="E102" s="10"/>
      <c r="F102" s="19"/>
      <c r="G102" s="10"/>
      <c r="H102" s="10"/>
      <c r="I102" s="10"/>
      <c r="J102" s="10"/>
      <c r="K102" s="10"/>
      <c r="L102" s="10"/>
      <c r="M102" s="10"/>
      <c r="N102" s="10"/>
      <c r="O102" s="10"/>
      <c r="P102" s="525"/>
      <c r="Q102" s="10"/>
      <c r="R102" s="10"/>
    </row>
    <row r="103" spans="4:18">
      <c r="D103" s="10"/>
      <c r="E103" s="10"/>
      <c r="F103" s="19"/>
      <c r="G103" s="10"/>
      <c r="H103" s="10"/>
      <c r="I103" s="10"/>
      <c r="J103" s="10"/>
      <c r="K103" s="10"/>
      <c r="L103" s="10"/>
      <c r="M103" s="10"/>
      <c r="N103" s="10"/>
      <c r="O103" s="10"/>
      <c r="P103" s="525"/>
      <c r="Q103" s="10"/>
      <c r="R103" s="10"/>
    </row>
    <row r="104" spans="4:18">
      <c r="D104" s="10"/>
      <c r="E104" s="10"/>
      <c r="F104" s="19"/>
      <c r="G104" s="10"/>
      <c r="H104" s="10"/>
      <c r="I104" s="10"/>
      <c r="J104" s="10"/>
      <c r="K104" s="10"/>
      <c r="L104" s="10"/>
      <c r="M104" s="10"/>
      <c r="N104" s="10"/>
      <c r="O104" s="10"/>
      <c r="P104" s="525"/>
      <c r="Q104" s="10"/>
      <c r="R104" s="10"/>
    </row>
    <row r="105" spans="4:18">
      <c r="D105" s="10"/>
      <c r="E105" s="10"/>
      <c r="F105" s="19"/>
      <c r="G105" s="10"/>
      <c r="H105" s="10"/>
      <c r="I105" s="10"/>
      <c r="J105" s="10"/>
      <c r="K105" s="10"/>
      <c r="L105" s="10"/>
      <c r="M105" s="10"/>
      <c r="N105" s="10"/>
      <c r="O105" s="10"/>
      <c r="P105" s="525"/>
      <c r="Q105" s="10"/>
      <c r="R105" s="10"/>
    </row>
    <row r="106" spans="4:18">
      <c r="D106" s="10"/>
      <c r="E106" s="10"/>
      <c r="F106" s="19"/>
      <c r="G106" s="10"/>
      <c r="H106" s="10"/>
      <c r="I106" s="10"/>
      <c r="J106" s="10"/>
      <c r="K106" s="10"/>
      <c r="L106" s="10"/>
      <c r="M106" s="10"/>
      <c r="N106" s="10"/>
      <c r="O106" s="10"/>
      <c r="P106" s="525"/>
      <c r="Q106" s="10"/>
      <c r="R106" s="10"/>
    </row>
  </sheetData>
  <mergeCells count="3">
    <mergeCell ref="P2:Q2"/>
    <mergeCell ref="R2:S2"/>
    <mergeCell ref="T2:U2"/>
  </mergeCells>
  <phoneticPr fontId="6"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2:AR238"/>
  <sheetViews>
    <sheetView zoomScale="70" zoomScaleNormal="70" workbookViewId="0"/>
  </sheetViews>
  <sheetFormatPr defaultRowHeight="12.75"/>
  <cols>
    <col min="1" max="1" width="32" style="408" bestFit="1" customWidth="1"/>
    <col min="2" max="2" width="14.7109375" customWidth="1"/>
    <col min="3" max="3" width="7.28515625" bestFit="1" customWidth="1"/>
    <col min="4" max="4" width="17.140625" bestFit="1" customWidth="1"/>
    <col min="5" max="5" width="14.85546875" bestFit="1" customWidth="1"/>
    <col min="6" max="6" width="16" bestFit="1" customWidth="1"/>
    <col min="7" max="7" width="16" style="15" customWidth="1"/>
    <col min="8" max="8" width="19.140625" bestFit="1" customWidth="1"/>
    <col min="9" max="9" width="10.5703125" bestFit="1" customWidth="1"/>
    <col min="10" max="10" width="8.140625" bestFit="1" customWidth="1"/>
    <col min="11" max="11" width="11.140625" bestFit="1" customWidth="1"/>
    <col min="12" max="12" width="13.140625" bestFit="1" customWidth="1"/>
    <col min="13" max="13" width="8.42578125" bestFit="1" customWidth="1"/>
    <col min="14" max="14" width="11.5703125" bestFit="1" customWidth="1"/>
    <col min="15" max="15" width="9.28515625" bestFit="1" customWidth="1"/>
    <col min="16" max="16" width="10.28515625" bestFit="1" customWidth="1"/>
    <col min="17" max="17" width="8.42578125" bestFit="1" customWidth="1"/>
    <col min="18" max="18" width="10.7109375" bestFit="1" customWidth="1"/>
    <col min="19" max="20" width="8.42578125" bestFit="1" customWidth="1"/>
    <col min="21" max="21" width="11.5703125" bestFit="1" customWidth="1"/>
    <col min="22" max="22" width="8.5703125" bestFit="1" customWidth="1"/>
    <col min="23" max="23" width="11.42578125" bestFit="1" customWidth="1"/>
    <col min="24" max="24" width="8.140625" bestFit="1" customWidth="1"/>
    <col min="25" max="25" width="10.5703125" bestFit="1" customWidth="1"/>
    <col min="26" max="27" width="13" bestFit="1" customWidth="1"/>
    <col min="28" max="28" width="11.42578125" bestFit="1" customWidth="1"/>
    <col min="29" max="29" width="8.5703125" bestFit="1" customWidth="1"/>
    <col min="30" max="30" width="11.7109375" bestFit="1" customWidth="1"/>
    <col min="31" max="31" width="8.5703125" bestFit="1" customWidth="1"/>
    <col min="32" max="32" width="14.5703125" bestFit="1" customWidth="1"/>
    <col min="33" max="34" width="8.28515625" bestFit="1" customWidth="1"/>
    <col min="35" max="35" width="11.7109375" customWidth="1"/>
    <col min="42" max="42" width="11.7109375" bestFit="1" customWidth="1"/>
  </cols>
  <sheetData>
    <row r="2" spans="1:42">
      <c r="A2" s="775"/>
      <c r="B2" s="146"/>
      <c r="C2" s="16"/>
      <c r="D2" s="1184" t="s">
        <v>590</v>
      </c>
      <c r="E2" s="1184"/>
      <c r="F2" s="1185"/>
      <c r="G2" s="717"/>
      <c r="H2" s="678"/>
      <c r="I2" s="679"/>
      <c r="J2" s="679"/>
      <c r="K2" s="679"/>
      <c r="L2" s="679"/>
      <c r="M2" s="679"/>
      <c r="N2" s="680"/>
      <c r="O2" s="678"/>
      <c r="P2" s="679"/>
      <c r="Q2" s="679"/>
      <c r="R2" s="679"/>
      <c r="S2" s="679"/>
      <c r="T2" s="679"/>
      <c r="U2" s="681"/>
      <c r="V2" s="678"/>
      <c r="W2" s="679"/>
      <c r="X2" s="679"/>
      <c r="Y2" s="679"/>
      <c r="Z2" s="679"/>
      <c r="AA2" s="679"/>
      <c r="AB2" s="681"/>
      <c r="AC2" s="678"/>
      <c r="AD2" s="679"/>
      <c r="AE2" s="679"/>
      <c r="AF2" s="679"/>
      <c r="AG2" s="679"/>
      <c r="AH2" s="679"/>
      <c r="AI2" s="681"/>
      <c r="AJ2" s="678"/>
      <c r="AK2" s="679"/>
      <c r="AL2" s="679"/>
      <c r="AM2" s="679"/>
      <c r="AN2" s="679"/>
      <c r="AO2" s="679"/>
      <c r="AP2" s="681"/>
    </row>
    <row r="3" spans="1:42" ht="38.25">
      <c r="A3" s="776" t="s">
        <v>104</v>
      </c>
      <c r="B3" s="645" t="s">
        <v>1141</v>
      </c>
      <c r="C3" s="646" t="s">
        <v>1140</v>
      </c>
      <c r="D3" s="647" t="s">
        <v>591</v>
      </c>
      <c r="E3" s="648" t="s">
        <v>592</v>
      </c>
      <c r="F3" s="649" t="s">
        <v>593</v>
      </c>
      <c r="G3" s="718" t="s">
        <v>1142</v>
      </c>
      <c r="H3" s="682" t="s">
        <v>594</v>
      </c>
      <c r="I3" s="683" t="s">
        <v>1008</v>
      </c>
      <c r="J3" s="683" t="s">
        <v>595</v>
      </c>
      <c r="K3" s="683" t="s">
        <v>596</v>
      </c>
      <c r="L3" s="684" t="s">
        <v>597</v>
      </c>
      <c r="M3" s="683" t="s">
        <v>598</v>
      </c>
      <c r="N3" s="685" t="s">
        <v>1159</v>
      </c>
      <c r="O3" s="682" t="s">
        <v>1009</v>
      </c>
      <c r="P3" s="683" t="s">
        <v>599</v>
      </c>
      <c r="Q3" s="683" t="s">
        <v>600</v>
      </c>
      <c r="R3" s="683" t="s">
        <v>601</v>
      </c>
      <c r="S3" s="683" t="s">
        <v>602</v>
      </c>
      <c r="T3" s="683" t="s">
        <v>602</v>
      </c>
      <c r="U3" s="685" t="s">
        <v>1163</v>
      </c>
      <c r="V3" s="682" t="s">
        <v>603</v>
      </c>
      <c r="W3" s="683" t="s">
        <v>997</v>
      </c>
      <c r="X3" s="683" t="s">
        <v>604</v>
      </c>
      <c r="Y3" s="683" t="s">
        <v>605</v>
      </c>
      <c r="Z3" s="683" t="s">
        <v>606</v>
      </c>
      <c r="AA3" s="683" t="s">
        <v>606</v>
      </c>
      <c r="AB3" s="685" t="s">
        <v>1162</v>
      </c>
      <c r="AC3" s="682" t="s">
        <v>998</v>
      </c>
      <c r="AD3" s="683" t="s">
        <v>999</v>
      </c>
      <c r="AE3" s="686" t="s">
        <v>1000</v>
      </c>
      <c r="AF3" s="683" t="s">
        <v>1001</v>
      </c>
      <c r="AG3" s="683" t="s">
        <v>1002</v>
      </c>
      <c r="AH3" s="683" t="s">
        <v>1002</v>
      </c>
      <c r="AI3" s="685" t="s">
        <v>1161</v>
      </c>
      <c r="AJ3" s="682" t="s">
        <v>1003</v>
      </c>
      <c r="AK3" s="683" t="s">
        <v>1004</v>
      </c>
      <c r="AL3" s="686" t="s">
        <v>1005</v>
      </c>
      <c r="AM3" s="683" t="s">
        <v>1006</v>
      </c>
      <c r="AN3" s="683" t="s">
        <v>1007</v>
      </c>
      <c r="AO3" s="683" t="s">
        <v>1007</v>
      </c>
      <c r="AP3" s="685" t="s">
        <v>1160</v>
      </c>
    </row>
    <row r="4" spans="1:42" ht="15">
      <c r="A4" s="777" t="s">
        <v>99</v>
      </c>
      <c r="B4" s="643">
        <v>6</v>
      </c>
      <c r="C4" s="766">
        <v>12</v>
      </c>
      <c r="D4" s="659">
        <v>13.5</v>
      </c>
      <c r="E4" s="660">
        <v>0.80323176284487685</v>
      </c>
      <c r="F4" s="661">
        <v>0.19600000000000001</v>
      </c>
      <c r="G4" s="719">
        <v>2</v>
      </c>
      <c r="H4" s="668">
        <f>IF($D4&lt;=1,0.5*$D4,IF($D4&lt;=51,0.09*LN($D4)+0.5,0.85))</f>
        <v>0.73424207168999456</v>
      </c>
      <c r="I4" s="651">
        <v>0.5</v>
      </c>
      <c r="J4" s="651">
        <f>IF($E4&gt;H4,1,0)</f>
        <v>1</v>
      </c>
      <c r="K4" s="651">
        <f>IF(I4&gt;$F4,1,0)</f>
        <v>1</v>
      </c>
      <c r="L4" s="651">
        <f>SUM(J4:K4)</f>
        <v>2</v>
      </c>
      <c r="M4" s="651" t="str">
        <f>IF(L4=2,"Yes","No")</f>
        <v>Yes</v>
      </c>
      <c r="N4" s="669">
        <f t="shared" ref="N4:N67" si="0">IF(T4="yes",0,IF(M4="yes",1,0))</f>
        <v>0</v>
      </c>
      <c r="O4" s="668">
        <f>IF($D4&lt;=1,0.48*$D4+0.14,IF($D4&lt;=49,0.0626*LN($D4)+0.622,0.87))</f>
        <v>0.78492837430881846</v>
      </c>
      <c r="P4" s="651">
        <f>IF($D4&lt;49,0.3,0.5)</f>
        <v>0.3</v>
      </c>
      <c r="Q4" s="651">
        <f>IF($E4&gt;O4,1,0)</f>
        <v>1</v>
      </c>
      <c r="R4" s="651">
        <f>IF(P4&gt;$F4,1,0)</f>
        <v>1</v>
      </c>
      <c r="S4" s="651">
        <f>SUM(Q4:R4)</f>
        <v>2</v>
      </c>
      <c r="T4" s="651" t="str">
        <f>IF(S4=2,"Yes","No")</f>
        <v>Yes</v>
      </c>
      <c r="U4" s="669">
        <f>IF(AA4="yes",0,IF(T4="yes",1,0))</f>
        <v>1</v>
      </c>
      <c r="V4" s="668">
        <f>IF($D4&lt;=1,0.49*$D4+0.15,IF($D4&lt;=49,0.0701*LN($D4)-0.0011*$D4+0.647,0.87))</f>
        <v>0.81459854694965128</v>
      </c>
      <c r="W4" s="651">
        <f>IF($D4&lt;49,0.2,0.23)</f>
        <v>0.2</v>
      </c>
      <c r="X4" s="651">
        <f>IF($E4&gt;V4,1,0)</f>
        <v>0</v>
      </c>
      <c r="Y4" s="651">
        <f>IF(W4&gt;$F4,1,0)</f>
        <v>1</v>
      </c>
      <c r="Z4" s="651">
        <f>SUM(X4:Y4)</f>
        <v>1</v>
      </c>
      <c r="AA4" s="650" t="str">
        <f>IF(Z4=2,"Yes","No")</f>
        <v>No</v>
      </c>
      <c r="AB4" s="669">
        <f>IF(AH4="yes",0,IF(AA4="yes",1,0))</f>
        <v>0</v>
      </c>
      <c r="AC4" s="668">
        <f>IF($D4&lt;=1,0.5*$D4+0.16,IF($D4&lt;=49,0.071*LN($D4)-0.0014*$D4+0.67,0.879779149034727))</f>
        <v>0.83589096766655124</v>
      </c>
      <c r="AD4" s="651">
        <f>IF($D4&lt;49,0.1,0.21)</f>
        <v>0.1</v>
      </c>
      <c r="AE4" s="651">
        <f>IF($E4&gt;AC4,1,0)</f>
        <v>0</v>
      </c>
      <c r="AF4" s="651">
        <f>IF(AD4&gt;$F4,1,0)</f>
        <v>0</v>
      </c>
      <c r="AG4" s="651">
        <f>SUM(AE4:AF4)</f>
        <v>0</v>
      </c>
      <c r="AH4" s="651" t="str">
        <f>IF(AG4=2,"Yes","No")</f>
        <v>No</v>
      </c>
      <c r="AI4" s="669">
        <f>IF(AO4="yes",0,IF(AH4="yes",1,0))</f>
        <v>0</v>
      </c>
      <c r="AJ4" s="674">
        <f>IF($D4&lt;=1,0.52*$D4+0.17,IF($D4&lt;=49,0.079*LN($D4)-0.0014*$D4+0.67,0.9104))</f>
        <v>0.85671248515010634</v>
      </c>
      <c r="AK4" s="654">
        <f>IF($D4&lt;49,0.0616666666666667,0.165)</f>
        <v>6.1666666666666703E-2</v>
      </c>
      <c r="AL4" s="654">
        <f>IF($E4&gt;AJ4,1,0)</f>
        <v>0</v>
      </c>
      <c r="AM4" s="654">
        <f>IF(AK4&gt;$F4,1,0)</f>
        <v>0</v>
      </c>
      <c r="AN4" s="654">
        <f>SUM(AL4:AM4)</f>
        <v>0</v>
      </c>
      <c r="AO4" s="654" t="str">
        <f>IF(AN4=2,"Yes","No")</f>
        <v>No</v>
      </c>
      <c r="AP4" s="655">
        <f>IF(AO4="yes",1,0)</f>
        <v>0</v>
      </c>
    </row>
    <row r="5" spans="1:42" ht="15">
      <c r="A5" s="777" t="s">
        <v>99</v>
      </c>
      <c r="B5" s="643">
        <v>6</v>
      </c>
      <c r="C5" s="766">
        <v>13</v>
      </c>
      <c r="D5" s="659">
        <v>14</v>
      </c>
      <c r="E5" s="660">
        <v>0.78082959428379439</v>
      </c>
      <c r="F5" s="661">
        <v>0.39600000000000002</v>
      </c>
      <c r="G5" s="719">
        <v>2</v>
      </c>
      <c r="H5" s="668">
        <f>IF($D5&lt;=1,0.5*$D5,IF($D5&lt;=51,0.09*LN($D5)+0.5,0.85))</f>
        <v>0.73751515966537329</v>
      </c>
      <c r="I5" s="651">
        <v>0.5</v>
      </c>
      <c r="J5" s="651">
        <f>IF($E5&gt;H5,1,0)</f>
        <v>1</v>
      </c>
      <c r="K5" s="651">
        <f>IF(I5&gt;$F5,1,0)</f>
        <v>1</v>
      </c>
      <c r="L5" s="651">
        <f>SUM(J5:K5)</f>
        <v>2</v>
      </c>
      <c r="M5" s="651" t="str">
        <f>IF(L5=2,"Yes","No")</f>
        <v>Yes</v>
      </c>
      <c r="N5" s="669">
        <f t="shared" si="0"/>
        <v>1</v>
      </c>
      <c r="O5" s="668">
        <f>IF($D5&lt;=1,0.48*$D5+0.14,IF($D5&lt;=49,0.0626*LN($D5)+0.622,0.87))</f>
        <v>0.78720498883391521</v>
      </c>
      <c r="P5" s="651">
        <f t="shared" ref="P5:P57" si="1">IF($D5&lt;49,0.3,0.5)</f>
        <v>0.3</v>
      </c>
      <c r="Q5" s="651">
        <f>IF($E5&gt;O5,1,0)</f>
        <v>0</v>
      </c>
      <c r="R5" s="651">
        <f>IF(P5&gt;$F5,1,0)</f>
        <v>0</v>
      </c>
      <c r="S5" s="651">
        <f>SUM(Q5:R5)</f>
        <v>0</v>
      </c>
      <c r="T5" s="651" t="str">
        <f>IF(S5=2,"Yes","No")</f>
        <v>No</v>
      </c>
      <c r="U5" s="669">
        <f t="shared" ref="U5:U68" si="2">IF(AA5="yes",0,IF(T5="yes",1,0))</f>
        <v>0</v>
      </c>
      <c r="V5" s="668">
        <f>IF($D5&lt;=1,0.49*$D5+0.15,IF($D5&lt;=49,0.0701*LN($D5)-0.0011*$D5+0.647,0.87))</f>
        <v>0.81659791880602961</v>
      </c>
      <c r="W5" s="651">
        <f t="shared" ref="W5:W57" si="3">IF($D5&lt;49,0.2,0.23)</f>
        <v>0.2</v>
      </c>
      <c r="X5" s="651">
        <f>IF($E5&gt;V5,1,0)</f>
        <v>0</v>
      </c>
      <c r="Y5" s="651">
        <f>IF(W5&gt;$F5,1,0)</f>
        <v>0</v>
      </c>
      <c r="Z5" s="651">
        <f>SUM(X5:Y5)</f>
        <v>0</v>
      </c>
      <c r="AA5" s="650" t="str">
        <f>IF(Z5=2,"Yes","No")</f>
        <v>No</v>
      </c>
      <c r="AB5" s="669">
        <f t="shared" ref="AB5:AB68" si="4">IF(AH5="yes",0,IF(AA5="yes",1,0))</f>
        <v>0</v>
      </c>
      <c r="AC5" s="668">
        <f>IF($D5&lt;=1,0.5*$D5+0.16,IF($D5&lt;=49,0.071*LN($D5)-0.0014*$D5+0.67,0.879779149034727))</f>
        <v>0.83777307040268334</v>
      </c>
      <c r="AD5" s="651">
        <f t="shared" ref="AD5:AD57" si="5">IF($D5&lt;49,0.1,0.21)</f>
        <v>0.1</v>
      </c>
      <c r="AE5" s="651">
        <f>IF($E5&gt;AC5,1,0)</f>
        <v>0</v>
      </c>
      <c r="AF5" s="651">
        <f>IF(AD5&gt;$F5,1,0)</f>
        <v>0</v>
      </c>
      <c r="AG5" s="651">
        <f>SUM(AE5:AF5)</f>
        <v>0</v>
      </c>
      <c r="AH5" s="651" t="str">
        <f>IF(AG5=2,"Yes","No")</f>
        <v>No</v>
      </c>
      <c r="AI5" s="669">
        <f t="shared" ref="AI5:AI68" si="6">IF(AO5="yes",0,IF(AH5="yes",1,0))</f>
        <v>0</v>
      </c>
      <c r="AJ5" s="674">
        <f>IF($D5&lt;=1,0.52*$D5+0.17,IF($D5&lt;=49,0.079*LN($D5)-0.0014*$D5+0.67,0.9104))</f>
        <v>0.85888552903960547</v>
      </c>
      <c r="AK5" s="654">
        <f t="shared" ref="AK5:AK6" si="7">IF($D5&lt;49,0.0616666666666667,0.165)</f>
        <v>6.1666666666666703E-2</v>
      </c>
      <c r="AL5" s="654">
        <f>IF($E5&gt;AJ5,1,0)</f>
        <v>0</v>
      </c>
      <c r="AM5" s="654">
        <f>IF(AK5&gt;$F5,1,0)</f>
        <v>0</v>
      </c>
      <c r="AN5" s="654">
        <f>SUM(AL5:AM5)</f>
        <v>0</v>
      </c>
      <c r="AO5" s="654" t="str">
        <f>IF(AN5=2,"Yes","No")</f>
        <v>No</v>
      </c>
      <c r="AP5" s="655">
        <f t="shared" ref="AP5:AP68" si="8">IF(AO5="yes",1,0)</f>
        <v>0</v>
      </c>
    </row>
    <row r="6" spans="1:42" ht="15">
      <c r="A6" s="778" t="s">
        <v>99</v>
      </c>
      <c r="B6" s="644">
        <v>6</v>
      </c>
      <c r="C6" s="767">
        <v>14</v>
      </c>
      <c r="D6" s="665">
        <v>45</v>
      </c>
      <c r="E6" s="687">
        <v>0.85596809428964782</v>
      </c>
      <c r="F6" s="667">
        <v>0.25700000000000001</v>
      </c>
      <c r="G6" s="720">
        <v>3</v>
      </c>
      <c r="H6" s="672">
        <f>IF($D6&lt;=1,0.5*$D6,IF($D6&lt;=51,0.09*LN($D6)+0.5,0.85))</f>
        <v>0.84259962407932876</v>
      </c>
      <c r="I6" s="653">
        <v>0.5</v>
      </c>
      <c r="J6" s="653">
        <f>IF($E6&gt;H6,1,0)</f>
        <v>1</v>
      </c>
      <c r="K6" s="653">
        <f>IF(I6&gt;$F6,1,0)</f>
        <v>1</v>
      </c>
      <c r="L6" s="653">
        <f>SUM(J6:K6)</f>
        <v>2</v>
      </c>
      <c r="M6" s="653" t="str">
        <f>IF(L6=2,"Yes","No")</f>
        <v>Yes</v>
      </c>
      <c r="N6" s="673">
        <f t="shared" si="0"/>
        <v>1</v>
      </c>
      <c r="O6" s="672">
        <f>IF($D6&lt;=1,0.48*$D6+0.14,IF($D6&lt;=49,0.0626*LN($D6)+0.622,0.87))</f>
        <v>0.86029707185962201</v>
      </c>
      <c r="P6" s="653">
        <f t="shared" si="1"/>
        <v>0.3</v>
      </c>
      <c r="Q6" s="653">
        <f>IF($E6&gt;O6,1,0)</f>
        <v>0</v>
      </c>
      <c r="R6" s="653">
        <f>IF(P6&gt;$F6,1,0)</f>
        <v>1</v>
      </c>
      <c r="S6" s="653">
        <f>SUM(Q6:R6)</f>
        <v>1</v>
      </c>
      <c r="T6" s="653" t="str">
        <f>IF(S6=2,"Yes","No")</f>
        <v>No</v>
      </c>
      <c r="U6" s="673">
        <f t="shared" si="2"/>
        <v>0</v>
      </c>
      <c r="V6" s="672">
        <f>IF($D6&lt;=1,0.49*$D6+0.15,IF($D6&lt;=49,0.0701*LN($D6)-0.0011*$D6+0.647,0.87))</f>
        <v>0.86434704053289946</v>
      </c>
      <c r="W6" s="653">
        <f t="shared" si="3"/>
        <v>0.2</v>
      </c>
      <c r="X6" s="653">
        <f>IF($E6&gt;V6,1,0)</f>
        <v>0</v>
      </c>
      <c r="Y6" s="653">
        <f>IF(W6&gt;$F6,1,0)</f>
        <v>0</v>
      </c>
      <c r="Z6" s="653">
        <f>SUM(X6:Y6)</f>
        <v>0</v>
      </c>
      <c r="AA6" s="652" t="str">
        <f>IF(Z6=2,"Yes","No")</f>
        <v>No</v>
      </c>
      <c r="AB6" s="673">
        <f t="shared" si="4"/>
        <v>0</v>
      </c>
      <c r="AC6" s="672">
        <f>IF($D6&lt;=1,0.5*$D6+0.16,IF($D6&lt;=49,0.071*LN($D6)-0.0014*$D6+0.67,0.879779149034727))</f>
        <v>0.87727303677369273</v>
      </c>
      <c r="AD6" s="653">
        <f t="shared" si="5"/>
        <v>0.1</v>
      </c>
      <c r="AE6" s="653">
        <f>IF($E6&gt;AC6,1,0)</f>
        <v>0</v>
      </c>
      <c r="AF6" s="653">
        <f>IF(AD6&gt;$F6,1,0)</f>
        <v>0</v>
      </c>
      <c r="AG6" s="653">
        <f>SUM(AE6:AF6)</f>
        <v>0</v>
      </c>
      <c r="AH6" s="653" t="str">
        <f>IF(AG6=2,"Yes","No")</f>
        <v>No</v>
      </c>
      <c r="AI6" s="673">
        <f t="shared" si="6"/>
        <v>0</v>
      </c>
      <c r="AJ6" s="677">
        <f>IF($D6&lt;=1,0.52*$D6+0.17,IF($D6&lt;=49,0.079*LN($D6)-0.0014*$D6+0.67,0.9104))</f>
        <v>0.90772633669185532</v>
      </c>
      <c r="AK6" s="657">
        <f t="shared" si="7"/>
        <v>6.1666666666666703E-2</v>
      </c>
      <c r="AL6" s="657">
        <f>IF($E6&gt;AJ6,1,0)</f>
        <v>0</v>
      </c>
      <c r="AM6" s="657">
        <f>IF(AK6&gt;$F6,1,0)</f>
        <v>0</v>
      </c>
      <c r="AN6" s="657">
        <f>SUM(AL6:AM6)</f>
        <v>0</v>
      </c>
      <c r="AO6" s="657" t="str">
        <f>IF(AN6=2,"Yes","No")</f>
        <v>No</v>
      </c>
      <c r="AP6" s="658">
        <f t="shared" si="8"/>
        <v>0</v>
      </c>
    </row>
    <row r="7" spans="1:42" ht="15">
      <c r="A7" s="778" t="s">
        <v>223</v>
      </c>
      <c r="B7" s="644">
        <v>9</v>
      </c>
      <c r="C7" s="767">
        <v>101</v>
      </c>
      <c r="D7" s="665">
        <v>2.5</v>
      </c>
      <c r="E7" s="687">
        <v>0.63462461294291816</v>
      </c>
      <c r="F7" s="667">
        <v>0.06</v>
      </c>
      <c r="G7" s="720">
        <v>1</v>
      </c>
      <c r="H7" s="672">
        <f>IF($D7&lt;=1,0.5*$D7,IF($D7&lt;=51,0.09*LN($D7)+0.5,0.85))</f>
        <v>0.58246616586867395</v>
      </c>
      <c r="I7" s="653">
        <v>0.5</v>
      </c>
      <c r="J7" s="653">
        <f>IF($E7&gt;H7,1,0)</f>
        <v>1</v>
      </c>
      <c r="K7" s="653">
        <f>IF(I7&gt;$F7,1,0)</f>
        <v>1</v>
      </c>
      <c r="L7" s="653">
        <f>SUM(J7:K7)</f>
        <v>2</v>
      </c>
      <c r="M7" s="653" t="str">
        <f>IF(L7=2,"Yes","No")</f>
        <v>Yes</v>
      </c>
      <c r="N7" s="673">
        <f t="shared" si="0"/>
        <v>1</v>
      </c>
      <c r="O7" s="672">
        <f>IF($D7&lt;=1,0.48*$D7+0.14,IF($D7&lt;=49,0.0626*LN($D7)+0.622,0.87))</f>
        <v>0.67935979981532213</v>
      </c>
      <c r="P7" s="653">
        <f t="shared" si="1"/>
        <v>0.3</v>
      </c>
      <c r="Q7" s="653">
        <f>IF($E7&gt;O7,1,0)</f>
        <v>0</v>
      </c>
      <c r="R7" s="653">
        <f>IF(P7&gt;$F7,1,0)</f>
        <v>1</v>
      </c>
      <c r="S7" s="653">
        <f>SUM(Q7:R7)</f>
        <v>1</v>
      </c>
      <c r="T7" s="653" t="str">
        <f>IF(S7=2,"Yes","No")</f>
        <v>No</v>
      </c>
      <c r="U7" s="673">
        <f t="shared" si="2"/>
        <v>0</v>
      </c>
      <c r="V7" s="672">
        <f>IF($D7&lt;=1,0.49*$D7+0.15,IF($D7&lt;=49,0.0701*LN($D7)-0.0011*$D7+0.647,0.87))</f>
        <v>0.70848198030437826</v>
      </c>
      <c r="W7" s="653">
        <f t="shared" si="3"/>
        <v>0.2</v>
      </c>
      <c r="X7" s="653">
        <f>IF($E7&gt;V7,1,0)</f>
        <v>0</v>
      </c>
      <c r="Y7" s="653">
        <f>IF(W7&gt;$F7,1,0)</f>
        <v>1</v>
      </c>
      <c r="Z7" s="653">
        <f>SUM(X7:Y7)</f>
        <v>1</v>
      </c>
      <c r="AA7" s="652" t="str">
        <f>IF(Z7=2,"Yes","No")</f>
        <v>No</v>
      </c>
      <c r="AB7" s="673">
        <f t="shared" si="4"/>
        <v>0</v>
      </c>
      <c r="AC7" s="672">
        <f>IF($D7&lt;=1,0.5*$D7+0.16,IF($D7&lt;=49,0.071*LN($D7)-0.0014*$D7+0.67,0.879779149034727))</f>
        <v>0.73155664196306502</v>
      </c>
      <c r="AD7" s="653">
        <f t="shared" si="5"/>
        <v>0.1</v>
      </c>
      <c r="AE7" s="653">
        <f>IF($E7&gt;AC7,1,0)</f>
        <v>0</v>
      </c>
      <c r="AF7" s="653">
        <f>IF(AD7&gt;$F7,1,0)</f>
        <v>1</v>
      </c>
      <c r="AG7" s="653">
        <f>SUM(AE7:AF7)</f>
        <v>1</v>
      </c>
      <c r="AH7" s="653" t="str">
        <f>IF(AG7=2,"Yes","No")</f>
        <v>No</v>
      </c>
      <c r="AI7" s="673">
        <f t="shared" si="6"/>
        <v>0</v>
      </c>
      <c r="AJ7" s="677">
        <f>IF($D7&lt;=1,0.52*$D7+0.17,IF($D7&lt;=49,0.079*LN($D7)-0.0014*$D7+0.67,0.9104))</f>
        <v>0.73888696781805829</v>
      </c>
      <c r="AK7" s="657">
        <f t="shared" ref="AK7" si="9">IF($D7&lt;49,0.0616666666666667,0.165)</f>
        <v>6.1666666666666703E-2</v>
      </c>
      <c r="AL7" s="657">
        <f>IF($E7&gt;AJ7,1,0)</f>
        <v>0</v>
      </c>
      <c r="AM7" s="657">
        <f>IF(AK7&gt;$F7,1,0)</f>
        <v>1</v>
      </c>
      <c r="AN7" s="657">
        <f>SUM(AL7:AM7)</f>
        <v>1</v>
      </c>
      <c r="AO7" s="657" t="str">
        <f>IF(AN7=2,"Yes","No")</f>
        <v>No</v>
      </c>
      <c r="AP7" s="658">
        <f t="shared" si="8"/>
        <v>0</v>
      </c>
    </row>
    <row r="8" spans="1:42" ht="15">
      <c r="A8" s="777" t="s">
        <v>154</v>
      </c>
      <c r="B8" s="643">
        <v>12</v>
      </c>
      <c r="C8" s="766">
        <v>31</v>
      </c>
      <c r="D8" s="659">
        <v>40</v>
      </c>
      <c r="E8" s="660">
        <v>0.8772590702050691</v>
      </c>
      <c r="F8" s="661">
        <v>0.11700000000000001</v>
      </c>
      <c r="G8" s="688">
        <v>3</v>
      </c>
      <c r="H8" s="668">
        <f t="shared" ref="H8:H40" si="10">IF($D8&lt;=1,0.5*$D8,IF($D8&lt;=51,0.09*LN($D8)+0.5,0.85))</f>
        <v>0.83199915087025422</v>
      </c>
      <c r="I8" s="651">
        <v>0.5</v>
      </c>
      <c r="J8" s="651">
        <f t="shared" ref="J8:J40" si="11">IF($E8&gt;H8,1,0)</f>
        <v>1</v>
      </c>
      <c r="K8" s="651">
        <f t="shared" ref="K8:K40" si="12">IF(I8&gt;$F8,1,0)</f>
        <v>1</v>
      </c>
      <c r="L8" s="651">
        <f t="shared" ref="L8:L40" si="13">SUM(J8:K8)</f>
        <v>2</v>
      </c>
      <c r="M8" s="651" t="str">
        <f t="shared" ref="M8:M40" si="14">IF(L8=2,"Yes","No")</f>
        <v>Yes</v>
      </c>
      <c r="N8" s="670">
        <f t="shared" si="0"/>
        <v>0</v>
      </c>
      <c r="O8" s="668">
        <f t="shared" ref="O8:O40" si="15">IF($D8&lt;=1,0.48*$D8+0.14,IF($D8&lt;=49,0.0626*LN($D8)+0.622,0.87))</f>
        <v>0.85292385382753244</v>
      </c>
      <c r="P8" s="651">
        <f t="shared" si="1"/>
        <v>0.3</v>
      </c>
      <c r="Q8" s="651">
        <f t="shared" ref="Q8:Q40" si="16">IF($E8&gt;O8,1,0)</f>
        <v>1</v>
      </c>
      <c r="R8" s="651">
        <f t="shared" ref="R8:R40" si="17">IF(P8&gt;$F8,1,0)</f>
        <v>1</v>
      </c>
      <c r="S8" s="651">
        <f t="shared" ref="S8:S40" si="18">SUM(Q8:R8)</f>
        <v>2</v>
      </c>
      <c r="T8" s="651" t="str">
        <f t="shared" ref="T8:T40" si="19">IF(S8=2,"Yes","No")</f>
        <v>Yes</v>
      </c>
      <c r="U8" s="669">
        <f t="shared" si="2"/>
        <v>0</v>
      </c>
      <c r="V8" s="668">
        <f t="shared" ref="V8:V40" si="20">IF($D8&lt;=1,0.49*$D8+0.15,IF($D8&lt;=49,0.0701*LN($D8)-0.0011*$D8+0.647,0.87))</f>
        <v>0.86159044973338694</v>
      </c>
      <c r="W8" s="651">
        <f t="shared" si="3"/>
        <v>0.2</v>
      </c>
      <c r="X8" s="651">
        <f t="shared" ref="X8:X40" si="21">IF($E8&gt;V8,1,0)</f>
        <v>1</v>
      </c>
      <c r="Y8" s="651">
        <f t="shared" ref="Y8:Y40" si="22">IF(W8&gt;$F8,1,0)</f>
        <v>1</v>
      </c>
      <c r="Z8" s="651">
        <f t="shared" ref="Z8:Z40" si="23">SUM(X8:Y8)</f>
        <v>2</v>
      </c>
      <c r="AA8" s="650" t="str">
        <f t="shared" ref="AA8:AA40" si="24">IF(Z8=2,"Yes","No")</f>
        <v>Yes</v>
      </c>
      <c r="AB8" s="669">
        <f t="shared" si="4"/>
        <v>1</v>
      </c>
      <c r="AC8" s="668">
        <f t="shared" ref="AC8:AC40" si="25">IF($D8&lt;=1,0.5*$D8+0.16,IF($D8&lt;=49,0.071*LN($D8)-0.0014*$D8+0.67,0.879779149034727))</f>
        <v>0.8759104412420895</v>
      </c>
      <c r="AD8" s="651">
        <f t="shared" si="5"/>
        <v>0.1</v>
      </c>
      <c r="AE8" s="651">
        <f t="shared" ref="AE8:AE40" si="26">IF($E8&gt;AC8,1,0)</f>
        <v>1</v>
      </c>
      <c r="AF8" s="651">
        <f t="shared" ref="AF8:AF40" si="27">IF(AD8&gt;$F8,1,0)</f>
        <v>0</v>
      </c>
      <c r="AG8" s="651">
        <f t="shared" ref="AG8:AG40" si="28">SUM(AE8:AF8)</f>
        <v>1</v>
      </c>
      <c r="AH8" s="651" t="str">
        <f t="shared" ref="AH8:AH40" si="29">IF(AG8=2,"Yes","No")</f>
        <v>No</v>
      </c>
      <c r="AI8" s="669">
        <f t="shared" si="6"/>
        <v>0</v>
      </c>
      <c r="AJ8" s="675">
        <f t="shared" ref="AJ8:AJ40" si="30">IF($D8&lt;=1,0.52*$D8+0.17,IF($D8&lt;=49,0.079*LN($D8)-0.0014*$D8+0.67,0.9104))</f>
        <v>0.90542147687500107</v>
      </c>
      <c r="AK8" s="654">
        <f t="shared" ref="AK8:AK46" si="31">IF($D8&lt;49,0.0616666666666667,0.165)</f>
        <v>6.1666666666666703E-2</v>
      </c>
      <c r="AL8" s="656">
        <f t="shared" ref="AL8:AL40" si="32">IF($E8&gt;AJ8,1,0)</f>
        <v>0</v>
      </c>
      <c r="AM8" s="656">
        <f t="shared" ref="AM8:AM40" si="33">IF(AK8&gt;$F8,1,0)</f>
        <v>0</v>
      </c>
      <c r="AN8" s="656">
        <f t="shared" ref="AN8:AN40" si="34">SUM(AL8:AM8)</f>
        <v>0</v>
      </c>
      <c r="AO8" s="656" t="str">
        <f t="shared" ref="AO8:AO40" si="35">IF(AN8=2,"Yes","No")</f>
        <v>No</v>
      </c>
      <c r="AP8" s="676">
        <f t="shared" si="8"/>
        <v>0</v>
      </c>
    </row>
    <row r="9" spans="1:42" ht="15">
      <c r="A9" s="777" t="s">
        <v>154</v>
      </c>
      <c r="B9" s="643">
        <v>12</v>
      </c>
      <c r="C9" s="766">
        <v>32</v>
      </c>
      <c r="D9" s="659">
        <v>64.75</v>
      </c>
      <c r="E9" s="660">
        <v>0.87834472617753678</v>
      </c>
      <c r="F9" s="661">
        <v>0.28599999999999998</v>
      </c>
      <c r="G9" s="688">
        <v>3</v>
      </c>
      <c r="H9" s="668">
        <f t="shared" si="10"/>
        <v>0.85</v>
      </c>
      <c r="I9" s="651">
        <v>0.5</v>
      </c>
      <c r="J9" s="651">
        <f t="shared" si="11"/>
        <v>1</v>
      </c>
      <c r="K9" s="651">
        <f t="shared" si="12"/>
        <v>1</v>
      </c>
      <c r="L9" s="651">
        <f t="shared" si="13"/>
        <v>2</v>
      </c>
      <c r="M9" s="651" t="str">
        <f t="shared" si="14"/>
        <v>Yes</v>
      </c>
      <c r="N9" s="670">
        <f t="shared" si="0"/>
        <v>0</v>
      </c>
      <c r="O9" s="668">
        <f t="shared" si="15"/>
        <v>0.87</v>
      </c>
      <c r="P9" s="651">
        <f t="shared" si="1"/>
        <v>0.5</v>
      </c>
      <c r="Q9" s="651">
        <f t="shared" si="16"/>
        <v>1</v>
      </c>
      <c r="R9" s="651">
        <f t="shared" si="17"/>
        <v>1</v>
      </c>
      <c r="S9" s="651">
        <f t="shared" si="18"/>
        <v>2</v>
      </c>
      <c r="T9" s="651" t="str">
        <f t="shared" si="19"/>
        <v>Yes</v>
      </c>
      <c r="U9" s="669">
        <f t="shared" si="2"/>
        <v>1</v>
      </c>
      <c r="V9" s="668">
        <f t="shared" si="20"/>
        <v>0.87</v>
      </c>
      <c r="W9" s="651">
        <f t="shared" si="3"/>
        <v>0.23</v>
      </c>
      <c r="X9" s="651">
        <f t="shared" si="21"/>
        <v>1</v>
      </c>
      <c r="Y9" s="651">
        <f t="shared" si="22"/>
        <v>0</v>
      </c>
      <c r="Z9" s="651">
        <f t="shared" si="23"/>
        <v>1</v>
      </c>
      <c r="AA9" s="650" t="str">
        <f t="shared" si="24"/>
        <v>No</v>
      </c>
      <c r="AB9" s="669">
        <f t="shared" si="4"/>
        <v>0</v>
      </c>
      <c r="AC9" s="668">
        <f t="shared" si="25"/>
        <v>0.87977914903472698</v>
      </c>
      <c r="AD9" s="651">
        <f t="shared" si="5"/>
        <v>0.21</v>
      </c>
      <c r="AE9" s="651">
        <f t="shared" si="26"/>
        <v>0</v>
      </c>
      <c r="AF9" s="651">
        <f t="shared" si="27"/>
        <v>0</v>
      </c>
      <c r="AG9" s="651">
        <f t="shared" si="28"/>
        <v>0</v>
      </c>
      <c r="AH9" s="651" t="str">
        <f t="shared" si="29"/>
        <v>No</v>
      </c>
      <c r="AI9" s="669">
        <f t="shared" si="6"/>
        <v>0</v>
      </c>
      <c r="AJ9" s="675">
        <f t="shared" si="30"/>
        <v>0.91039999999999999</v>
      </c>
      <c r="AK9" s="656">
        <f t="shared" si="31"/>
        <v>0.16500000000000001</v>
      </c>
      <c r="AL9" s="656">
        <f t="shared" si="32"/>
        <v>0</v>
      </c>
      <c r="AM9" s="656">
        <f t="shared" si="33"/>
        <v>0</v>
      </c>
      <c r="AN9" s="656">
        <f t="shared" si="34"/>
        <v>0</v>
      </c>
      <c r="AO9" s="656" t="str">
        <f t="shared" si="35"/>
        <v>No</v>
      </c>
      <c r="AP9" s="676">
        <f t="shared" si="8"/>
        <v>0</v>
      </c>
    </row>
    <row r="10" spans="1:42" ht="15">
      <c r="A10" s="777" t="s">
        <v>154</v>
      </c>
      <c r="B10" s="643">
        <v>12</v>
      </c>
      <c r="C10" s="766">
        <v>33</v>
      </c>
      <c r="D10" s="659">
        <v>64.75</v>
      </c>
      <c r="E10" s="660">
        <v>0.87622440621386977</v>
      </c>
      <c r="F10" s="661">
        <v>0.22</v>
      </c>
      <c r="G10" s="688">
        <v>3</v>
      </c>
      <c r="H10" s="668">
        <f t="shared" si="10"/>
        <v>0.85</v>
      </c>
      <c r="I10" s="651">
        <v>0.5</v>
      </c>
      <c r="J10" s="651">
        <f t="shared" si="11"/>
        <v>1</v>
      </c>
      <c r="K10" s="651">
        <f t="shared" si="12"/>
        <v>1</v>
      </c>
      <c r="L10" s="651">
        <f t="shared" si="13"/>
        <v>2</v>
      </c>
      <c r="M10" s="651" t="str">
        <f t="shared" si="14"/>
        <v>Yes</v>
      </c>
      <c r="N10" s="670">
        <f t="shared" si="0"/>
        <v>0</v>
      </c>
      <c r="O10" s="668">
        <f t="shared" si="15"/>
        <v>0.87</v>
      </c>
      <c r="P10" s="651">
        <f t="shared" si="1"/>
        <v>0.5</v>
      </c>
      <c r="Q10" s="651">
        <f t="shared" si="16"/>
        <v>1</v>
      </c>
      <c r="R10" s="651">
        <f t="shared" si="17"/>
        <v>1</v>
      </c>
      <c r="S10" s="651">
        <f t="shared" si="18"/>
        <v>2</v>
      </c>
      <c r="T10" s="651" t="str">
        <f t="shared" si="19"/>
        <v>Yes</v>
      </c>
      <c r="U10" s="669">
        <f t="shared" si="2"/>
        <v>0</v>
      </c>
      <c r="V10" s="668">
        <f t="shared" si="20"/>
        <v>0.87</v>
      </c>
      <c r="W10" s="651">
        <f t="shared" si="3"/>
        <v>0.23</v>
      </c>
      <c r="X10" s="651">
        <f t="shared" si="21"/>
        <v>1</v>
      </c>
      <c r="Y10" s="651">
        <f t="shared" si="22"/>
        <v>1</v>
      </c>
      <c r="Z10" s="651">
        <f t="shared" si="23"/>
        <v>2</v>
      </c>
      <c r="AA10" s="650" t="str">
        <f t="shared" si="24"/>
        <v>Yes</v>
      </c>
      <c r="AB10" s="669">
        <f t="shared" si="4"/>
        <v>1</v>
      </c>
      <c r="AC10" s="668">
        <f t="shared" si="25"/>
        <v>0.87977914903472698</v>
      </c>
      <c r="AD10" s="651">
        <f t="shared" si="5"/>
        <v>0.21</v>
      </c>
      <c r="AE10" s="651">
        <f t="shared" si="26"/>
        <v>0</v>
      </c>
      <c r="AF10" s="651">
        <f t="shared" si="27"/>
        <v>0</v>
      </c>
      <c r="AG10" s="651">
        <f t="shared" si="28"/>
        <v>0</v>
      </c>
      <c r="AH10" s="651" t="str">
        <f t="shared" si="29"/>
        <v>No</v>
      </c>
      <c r="AI10" s="669">
        <f t="shared" si="6"/>
        <v>0</v>
      </c>
      <c r="AJ10" s="675">
        <f t="shared" si="30"/>
        <v>0.91039999999999999</v>
      </c>
      <c r="AK10" s="656">
        <f t="shared" si="31"/>
        <v>0.16500000000000001</v>
      </c>
      <c r="AL10" s="656">
        <f t="shared" si="32"/>
        <v>0</v>
      </c>
      <c r="AM10" s="656">
        <f t="shared" si="33"/>
        <v>0</v>
      </c>
      <c r="AN10" s="656">
        <f t="shared" si="34"/>
        <v>0</v>
      </c>
      <c r="AO10" s="656" t="str">
        <f t="shared" si="35"/>
        <v>No</v>
      </c>
      <c r="AP10" s="676">
        <f t="shared" si="8"/>
        <v>0</v>
      </c>
    </row>
    <row r="11" spans="1:42" ht="15">
      <c r="A11" s="777" t="s">
        <v>154</v>
      </c>
      <c r="B11" s="643">
        <v>12</v>
      </c>
      <c r="C11" s="766">
        <v>46</v>
      </c>
      <c r="D11" s="659">
        <v>90.06</v>
      </c>
      <c r="E11" s="660">
        <v>0.88979660515872849</v>
      </c>
      <c r="F11" s="661">
        <v>0.224</v>
      </c>
      <c r="G11" s="688">
        <v>3</v>
      </c>
      <c r="H11" s="668">
        <f t="shared" si="10"/>
        <v>0.85</v>
      </c>
      <c r="I11" s="651">
        <v>0.5</v>
      </c>
      <c r="J11" s="651">
        <f t="shared" si="11"/>
        <v>1</v>
      </c>
      <c r="K11" s="651">
        <f t="shared" si="12"/>
        <v>1</v>
      </c>
      <c r="L11" s="651">
        <f t="shared" si="13"/>
        <v>2</v>
      </c>
      <c r="M11" s="651" t="str">
        <f t="shared" si="14"/>
        <v>Yes</v>
      </c>
      <c r="N11" s="669">
        <f t="shared" si="0"/>
        <v>0</v>
      </c>
      <c r="O11" s="668">
        <f t="shared" si="15"/>
        <v>0.87</v>
      </c>
      <c r="P11" s="651">
        <f t="shared" si="1"/>
        <v>0.5</v>
      </c>
      <c r="Q11" s="651">
        <f t="shared" si="16"/>
        <v>1</v>
      </c>
      <c r="R11" s="651">
        <f t="shared" si="17"/>
        <v>1</v>
      </c>
      <c r="S11" s="651">
        <f t="shared" si="18"/>
        <v>2</v>
      </c>
      <c r="T11" s="651" t="str">
        <f t="shared" si="19"/>
        <v>Yes</v>
      </c>
      <c r="U11" s="669">
        <f t="shared" si="2"/>
        <v>0</v>
      </c>
      <c r="V11" s="668">
        <f t="shared" si="20"/>
        <v>0.87</v>
      </c>
      <c r="W11" s="651">
        <f t="shared" si="3"/>
        <v>0.23</v>
      </c>
      <c r="X11" s="651">
        <f t="shared" si="21"/>
        <v>1</v>
      </c>
      <c r="Y11" s="651">
        <f t="shared" si="22"/>
        <v>1</v>
      </c>
      <c r="Z11" s="651">
        <f t="shared" si="23"/>
        <v>2</v>
      </c>
      <c r="AA11" s="650" t="str">
        <f t="shared" si="24"/>
        <v>Yes</v>
      </c>
      <c r="AB11" s="669">
        <f t="shared" si="4"/>
        <v>1</v>
      </c>
      <c r="AC11" s="668">
        <f t="shared" si="25"/>
        <v>0.87977914903472698</v>
      </c>
      <c r="AD11" s="651">
        <f t="shared" si="5"/>
        <v>0.21</v>
      </c>
      <c r="AE11" s="651">
        <f t="shared" si="26"/>
        <v>1</v>
      </c>
      <c r="AF11" s="651">
        <f t="shared" si="27"/>
        <v>0</v>
      </c>
      <c r="AG11" s="651">
        <f t="shared" si="28"/>
        <v>1</v>
      </c>
      <c r="AH11" s="651" t="str">
        <f t="shared" si="29"/>
        <v>No</v>
      </c>
      <c r="AI11" s="669">
        <f t="shared" si="6"/>
        <v>0</v>
      </c>
      <c r="AJ11" s="674">
        <f t="shared" si="30"/>
        <v>0.91039999999999999</v>
      </c>
      <c r="AK11" s="654">
        <f t="shared" si="31"/>
        <v>0.16500000000000001</v>
      </c>
      <c r="AL11" s="654">
        <f t="shared" si="32"/>
        <v>0</v>
      </c>
      <c r="AM11" s="654">
        <f t="shared" si="33"/>
        <v>0</v>
      </c>
      <c r="AN11" s="654">
        <f t="shared" si="34"/>
        <v>0</v>
      </c>
      <c r="AO11" s="654" t="str">
        <f t="shared" si="35"/>
        <v>No</v>
      </c>
      <c r="AP11" s="655">
        <f t="shared" si="8"/>
        <v>0</v>
      </c>
    </row>
    <row r="12" spans="1:42" ht="15">
      <c r="A12" s="777" t="s">
        <v>154</v>
      </c>
      <c r="B12" s="643">
        <v>12</v>
      </c>
      <c r="C12" s="766">
        <v>47</v>
      </c>
      <c r="D12" s="659">
        <v>64</v>
      </c>
      <c r="E12" s="660">
        <v>0.87909584563721266</v>
      </c>
      <c r="F12" s="661">
        <v>0.45200000000000001</v>
      </c>
      <c r="G12" s="688">
        <v>3</v>
      </c>
      <c r="H12" s="668">
        <f t="shared" si="10"/>
        <v>0.85</v>
      </c>
      <c r="I12" s="651">
        <v>0.5</v>
      </c>
      <c r="J12" s="651">
        <f t="shared" si="11"/>
        <v>1</v>
      </c>
      <c r="K12" s="651">
        <f t="shared" si="12"/>
        <v>1</v>
      </c>
      <c r="L12" s="651">
        <f t="shared" si="13"/>
        <v>2</v>
      </c>
      <c r="M12" s="651" t="str">
        <f t="shared" si="14"/>
        <v>Yes</v>
      </c>
      <c r="N12" s="669">
        <f t="shared" si="0"/>
        <v>0</v>
      </c>
      <c r="O12" s="668">
        <f t="shared" si="15"/>
        <v>0.87</v>
      </c>
      <c r="P12" s="651">
        <f t="shared" si="1"/>
        <v>0.5</v>
      </c>
      <c r="Q12" s="651">
        <f t="shared" si="16"/>
        <v>1</v>
      </c>
      <c r="R12" s="651">
        <f t="shared" si="17"/>
        <v>1</v>
      </c>
      <c r="S12" s="651">
        <f t="shared" si="18"/>
        <v>2</v>
      </c>
      <c r="T12" s="651" t="str">
        <f t="shared" si="19"/>
        <v>Yes</v>
      </c>
      <c r="U12" s="669">
        <f t="shared" si="2"/>
        <v>1</v>
      </c>
      <c r="V12" s="668">
        <f t="shared" si="20"/>
        <v>0.87</v>
      </c>
      <c r="W12" s="651">
        <f t="shared" si="3"/>
        <v>0.23</v>
      </c>
      <c r="X12" s="651">
        <f t="shared" si="21"/>
        <v>1</v>
      </c>
      <c r="Y12" s="651">
        <f t="shared" si="22"/>
        <v>0</v>
      </c>
      <c r="Z12" s="651">
        <f t="shared" si="23"/>
        <v>1</v>
      </c>
      <c r="AA12" s="650" t="str">
        <f t="shared" si="24"/>
        <v>No</v>
      </c>
      <c r="AB12" s="669">
        <f t="shared" si="4"/>
        <v>0</v>
      </c>
      <c r="AC12" s="668">
        <f t="shared" si="25"/>
        <v>0.87977914903472698</v>
      </c>
      <c r="AD12" s="651">
        <f t="shared" si="5"/>
        <v>0.21</v>
      </c>
      <c r="AE12" s="651">
        <f t="shared" si="26"/>
        <v>0</v>
      </c>
      <c r="AF12" s="651">
        <f t="shared" si="27"/>
        <v>0</v>
      </c>
      <c r="AG12" s="651">
        <f t="shared" si="28"/>
        <v>0</v>
      </c>
      <c r="AH12" s="651" t="str">
        <f t="shared" si="29"/>
        <v>No</v>
      </c>
      <c r="AI12" s="669">
        <f t="shared" si="6"/>
        <v>0</v>
      </c>
      <c r="AJ12" s="674">
        <f t="shared" si="30"/>
        <v>0.91039999999999999</v>
      </c>
      <c r="AK12" s="654">
        <f t="shared" si="31"/>
        <v>0.16500000000000001</v>
      </c>
      <c r="AL12" s="654">
        <f t="shared" si="32"/>
        <v>0</v>
      </c>
      <c r="AM12" s="654">
        <f t="shared" si="33"/>
        <v>0</v>
      </c>
      <c r="AN12" s="654">
        <f t="shared" si="34"/>
        <v>0</v>
      </c>
      <c r="AO12" s="654" t="str">
        <f t="shared" si="35"/>
        <v>No</v>
      </c>
      <c r="AP12" s="655">
        <f t="shared" si="8"/>
        <v>0</v>
      </c>
    </row>
    <row r="13" spans="1:42" ht="15">
      <c r="A13" s="777" t="s">
        <v>154</v>
      </c>
      <c r="B13" s="643">
        <v>12</v>
      </c>
      <c r="C13" s="766">
        <v>48</v>
      </c>
      <c r="D13" s="659">
        <v>60</v>
      </c>
      <c r="E13" s="660">
        <v>0.87050000000000005</v>
      </c>
      <c r="F13" s="661">
        <v>0.26100000000000001</v>
      </c>
      <c r="G13" s="688">
        <v>3</v>
      </c>
      <c r="H13" s="668">
        <f t="shared" si="10"/>
        <v>0.85</v>
      </c>
      <c r="I13" s="651">
        <v>0.5</v>
      </c>
      <c r="J13" s="651">
        <f t="shared" si="11"/>
        <v>1</v>
      </c>
      <c r="K13" s="651">
        <f t="shared" si="12"/>
        <v>1</v>
      </c>
      <c r="L13" s="651">
        <f t="shared" si="13"/>
        <v>2</v>
      </c>
      <c r="M13" s="651" t="str">
        <f t="shared" si="14"/>
        <v>Yes</v>
      </c>
      <c r="N13" s="669">
        <f t="shared" si="0"/>
        <v>0</v>
      </c>
      <c r="O13" s="668">
        <f t="shared" si="15"/>
        <v>0.87</v>
      </c>
      <c r="P13" s="651">
        <f t="shared" si="1"/>
        <v>0.5</v>
      </c>
      <c r="Q13" s="651">
        <f t="shared" si="16"/>
        <v>1</v>
      </c>
      <c r="R13" s="651">
        <f t="shared" si="17"/>
        <v>1</v>
      </c>
      <c r="S13" s="651">
        <f t="shared" si="18"/>
        <v>2</v>
      </c>
      <c r="T13" s="651" t="str">
        <f t="shared" si="19"/>
        <v>Yes</v>
      </c>
      <c r="U13" s="669">
        <f t="shared" si="2"/>
        <v>1</v>
      </c>
      <c r="V13" s="668">
        <f t="shared" si="20"/>
        <v>0.87</v>
      </c>
      <c r="W13" s="651">
        <f t="shared" si="3"/>
        <v>0.23</v>
      </c>
      <c r="X13" s="651">
        <f t="shared" si="21"/>
        <v>1</v>
      </c>
      <c r="Y13" s="651">
        <f t="shared" si="22"/>
        <v>0</v>
      </c>
      <c r="Z13" s="651">
        <f t="shared" si="23"/>
        <v>1</v>
      </c>
      <c r="AA13" s="650" t="str">
        <f t="shared" si="24"/>
        <v>No</v>
      </c>
      <c r="AB13" s="669">
        <f t="shared" si="4"/>
        <v>0</v>
      </c>
      <c r="AC13" s="668">
        <f t="shared" si="25"/>
        <v>0.87977914903472698</v>
      </c>
      <c r="AD13" s="651">
        <f t="shared" si="5"/>
        <v>0.21</v>
      </c>
      <c r="AE13" s="651">
        <f t="shared" si="26"/>
        <v>0</v>
      </c>
      <c r="AF13" s="651">
        <f t="shared" si="27"/>
        <v>0</v>
      </c>
      <c r="AG13" s="651">
        <f t="shared" si="28"/>
        <v>0</v>
      </c>
      <c r="AH13" s="651" t="str">
        <f t="shared" si="29"/>
        <v>No</v>
      </c>
      <c r="AI13" s="669">
        <f t="shared" si="6"/>
        <v>0</v>
      </c>
      <c r="AJ13" s="674">
        <f t="shared" si="30"/>
        <v>0.91039999999999999</v>
      </c>
      <c r="AK13" s="654">
        <f t="shared" si="31"/>
        <v>0.16500000000000001</v>
      </c>
      <c r="AL13" s="654">
        <f t="shared" si="32"/>
        <v>0</v>
      </c>
      <c r="AM13" s="654">
        <f t="shared" si="33"/>
        <v>0</v>
      </c>
      <c r="AN13" s="654">
        <f t="shared" si="34"/>
        <v>0</v>
      </c>
      <c r="AO13" s="654" t="str">
        <f t="shared" si="35"/>
        <v>No</v>
      </c>
      <c r="AP13" s="655">
        <f t="shared" si="8"/>
        <v>0</v>
      </c>
    </row>
    <row r="14" spans="1:42" ht="15">
      <c r="A14" s="777" t="s">
        <v>154</v>
      </c>
      <c r="B14" s="643">
        <v>12</v>
      </c>
      <c r="C14" s="766">
        <v>49</v>
      </c>
      <c r="D14" s="659">
        <v>120.08000000000001</v>
      </c>
      <c r="E14" s="660">
        <v>0.87502937908905509</v>
      </c>
      <c r="F14" s="661">
        <v>0.16020000000000001</v>
      </c>
      <c r="G14" s="688">
        <v>4</v>
      </c>
      <c r="H14" s="668">
        <f t="shared" si="10"/>
        <v>0.85</v>
      </c>
      <c r="I14" s="651">
        <v>0.5</v>
      </c>
      <c r="J14" s="651">
        <f t="shared" si="11"/>
        <v>1</v>
      </c>
      <c r="K14" s="651">
        <f t="shared" si="12"/>
        <v>1</v>
      </c>
      <c r="L14" s="651">
        <f t="shared" si="13"/>
        <v>2</v>
      </c>
      <c r="M14" s="651" t="str">
        <f t="shared" si="14"/>
        <v>Yes</v>
      </c>
      <c r="N14" s="669">
        <f t="shared" si="0"/>
        <v>0</v>
      </c>
      <c r="O14" s="668">
        <f t="shared" si="15"/>
        <v>0.87</v>
      </c>
      <c r="P14" s="651">
        <f t="shared" si="1"/>
        <v>0.5</v>
      </c>
      <c r="Q14" s="651">
        <f t="shared" si="16"/>
        <v>1</v>
      </c>
      <c r="R14" s="651">
        <f t="shared" si="17"/>
        <v>1</v>
      </c>
      <c r="S14" s="651">
        <f t="shared" si="18"/>
        <v>2</v>
      </c>
      <c r="T14" s="651" t="str">
        <f t="shared" si="19"/>
        <v>Yes</v>
      </c>
      <c r="U14" s="669">
        <f t="shared" si="2"/>
        <v>0</v>
      </c>
      <c r="V14" s="668">
        <f t="shared" si="20"/>
        <v>0.87</v>
      </c>
      <c r="W14" s="651">
        <f t="shared" si="3"/>
        <v>0.23</v>
      </c>
      <c r="X14" s="651">
        <f t="shared" si="21"/>
        <v>1</v>
      </c>
      <c r="Y14" s="651">
        <f t="shared" si="22"/>
        <v>1</v>
      </c>
      <c r="Z14" s="651">
        <f t="shared" si="23"/>
        <v>2</v>
      </c>
      <c r="AA14" s="650" t="str">
        <f t="shared" si="24"/>
        <v>Yes</v>
      </c>
      <c r="AB14" s="669">
        <f t="shared" si="4"/>
        <v>1</v>
      </c>
      <c r="AC14" s="668">
        <f t="shared" si="25"/>
        <v>0.87977914903472698</v>
      </c>
      <c r="AD14" s="651">
        <f t="shared" si="5"/>
        <v>0.21</v>
      </c>
      <c r="AE14" s="651">
        <f t="shared" si="26"/>
        <v>0</v>
      </c>
      <c r="AF14" s="651">
        <f t="shared" si="27"/>
        <v>1</v>
      </c>
      <c r="AG14" s="651">
        <f t="shared" si="28"/>
        <v>1</v>
      </c>
      <c r="AH14" s="651" t="str">
        <f t="shared" si="29"/>
        <v>No</v>
      </c>
      <c r="AI14" s="669">
        <f t="shared" si="6"/>
        <v>0</v>
      </c>
      <c r="AJ14" s="674">
        <f t="shared" si="30"/>
        <v>0.91039999999999999</v>
      </c>
      <c r="AK14" s="654">
        <f t="shared" si="31"/>
        <v>0.16500000000000001</v>
      </c>
      <c r="AL14" s="654">
        <f t="shared" si="32"/>
        <v>0</v>
      </c>
      <c r="AM14" s="654">
        <f t="shared" si="33"/>
        <v>1</v>
      </c>
      <c r="AN14" s="654">
        <f t="shared" si="34"/>
        <v>1</v>
      </c>
      <c r="AO14" s="654" t="str">
        <f t="shared" si="35"/>
        <v>No</v>
      </c>
      <c r="AP14" s="655">
        <f t="shared" si="8"/>
        <v>0</v>
      </c>
    </row>
    <row r="15" spans="1:42" ht="15">
      <c r="A15" s="777" t="s">
        <v>154</v>
      </c>
      <c r="B15" s="643">
        <v>12</v>
      </c>
      <c r="C15" s="766">
        <v>50</v>
      </c>
      <c r="D15" s="659">
        <v>119.7</v>
      </c>
      <c r="E15" s="660">
        <v>0.88751999742550358</v>
      </c>
      <c r="F15" s="661">
        <v>0.3155</v>
      </c>
      <c r="G15" s="688">
        <v>4</v>
      </c>
      <c r="H15" s="668">
        <f t="shared" si="10"/>
        <v>0.85</v>
      </c>
      <c r="I15" s="651">
        <v>0.5</v>
      </c>
      <c r="J15" s="651">
        <f t="shared" si="11"/>
        <v>1</v>
      </c>
      <c r="K15" s="651">
        <f t="shared" si="12"/>
        <v>1</v>
      </c>
      <c r="L15" s="651">
        <f t="shared" si="13"/>
        <v>2</v>
      </c>
      <c r="M15" s="651" t="str">
        <f t="shared" si="14"/>
        <v>Yes</v>
      </c>
      <c r="N15" s="669">
        <f t="shared" si="0"/>
        <v>0</v>
      </c>
      <c r="O15" s="668">
        <f t="shared" si="15"/>
        <v>0.87</v>
      </c>
      <c r="P15" s="651">
        <f t="shared" si="1"/>
        <v>0.5</v>
      </c>
      <c r="Q15" s="651">
        <f t="shared" si="16"/>
        <v>1</v>
      </c>
      <c r="R15" s="651">
        <f t="shared" si="17"/>
        <v>1</v>
      </c>
      <c r="S15" s="651">
        <f t="shared" si="18"/>
        <v>2</v>
      </c>
      <c r="T15" s="651" t="str">
        <f t="shared" si="19"/>
        <v>Yes</v>
      </c>
      <c r="U15" s="669">
        <f t="shared" si="2"/>
        <v>1</v>
      </c>
      <c r="V15" s="668">
        <f t="shared" si="20"/>
        <v>0.87</v>
      </c>
      <c r="W15" s="651">
        <f t="shared" si="3"/>
        <v>0.23</v>
      </c>
      <c r="X15" s="651">
        <f t="shared" si="21"/>
        <v>1</v>
      </c>
      <c r="Y15" s="651">
        <f t="shared" si="22"/>
        <v>0</v>
      </c>
      <c r="Z15" s="651">
        <f t="shared" si="23"/>
        <v>1</v>
      </c>
      <c r="AA15" s="650" t="str">
        <f t="shared" si="24"/>
        <v>No</v>
      </c>
      <c r="AB15" s="669">
        <f t="shared" si="4"/>
        <v>0</v>
      </c>
      <c r="AC15" s="668">
        <f t="shared" si="25"/>
        <v>0.87977914903472698</v>
      </c>
      <c r="AD15" s="651">
        <f t="shared" si="5"/>
        <v>0.21</v>
      </c>
      <c r="AE15" s="651">
        <f t="shared" si="26"/>
        <v>1</v>
      </c>
      <c r="AF15" s="651">
        <f t="shared" si="27"/>
        <v>0</v>
      </c>
      <c r="AG15" s="651">
        <f t="shared" si="28"/>
        <v>1</v>
      </c>
      <c r="AH15" s="651" t="str">
        <f t="shared" si="29"/>
        <v>No</v>
      </c>
      <c r="AI15" s="669">
        <f t="shared" si="6"/>
        <v>0</v>
      </c>
      <c r="AJ15" s="674">
        <f t="shared" si="30"/>
        <v>0.91039999999999999</v>
      </c>
      <c r="AK15" s="654">
        <f t="shared" si="31"/>
        <v>0.16500000000000001</v>
      </c>
      <c r="AL15" s="654">
        <f t="shared" si="32"/>
        <v>0</v>
      </c>
      <c r="AM15" s="654">
        <f t="shared" si="33"/>
        <v>0</v>
      </c>
      <c r="AN15" s="654">
        <f t="shared" si="34"/>
        <v>0</v>
      </c>
      <c r="AO15" s="654" t="str">
        <f t="shared" si="35"/>
        <v>No</v>
      </c>
      <c r="AP15" s="655">
        <f t="shared" si="8"/>
        <v>0</v>
      </c>
    </row>
    <row r="16" spans="1:42" ht="15">
      <c r="A16" s="777" t="s">
        <v>154</v>
      </c>
      <c r="B16" s="643">
        <v>12</v>
      </c>
      <c r="C16" s="766">
        <v>56</v>
      </c>
      <c r="D16" s="659">
        <v>30.020000000000003</v>
      </c>
      <c r="E16" s="660">
        <v>0.86299580113725982</v>
      </c>
      <c r="F16" s="661">
        <v>0.69199999999999995</v>
      </c>
      <c r="G16" s="688">
        <v>3</v>
      </c>
      <c r="H16" s="668">
        <f t="shared" si="10"/>
        <v>0.80616774435847849</v>
      </c>
      <c r="I16" s="651">
        <v>0.5</v>
      </c>
      <c r="J16" s="651">
        <f t="shared" si="11"/>
        <v>1</v>
      </c>
      <c r="K16" s="651">
        <f t="shared" si="12"/>
        <v>0</v>
      </c>
      <c r="L16" s="651">
        <f t="shared" si="13"/>
        <v>1</v>
      </c>
      <c r="M16" s="651" t="str">
        <f t="shared" si="14"/>
        <v>No</v>
      </c>
      <c r="N16" s="669">
        <f t="shared" si="0"/>
        <v>0</v>
      </c>
      <c r="O16" s="668">
        <f t="shared" si="15"/>
        <v>0.83495667552045272</v>
      </c>
      <c r="P16" s="651">
        <f t="shared" si="1"/>
        <v>0.3</v>
      </c>
      <c r="Q16" s="651">
        <f t="shared" si="16"/>
        <v>1</v>
      </c>
      <c r="R16" s="651">
        <f t="shared" si="17"/>
        <v>0</v>
      </c>
      <c r="S16" s="651">
        <f t="shared" si="18"/>
        <v>1</v>
      </c>
      <c r="T16" s="651" t="str">
        <f t="shared" si="19"/>
        <v>No</v>
      </c>
      <c r="U16" s="669">
        <f t="shared" si="2"/>
        <v>0</v>
      </c>
      <c r="V16" s="668">
        <f t="shared" si="20"/>
        <v>0.85244865421699267</v>
      </c>
      <c r="W16" s="651">
        <f t="shared" si="3"/>
        <v>0.2</v>
      </c>
      <c r="X16" s="651">
        <f t="shared" si="21"/>
        <v>1</v>
      </c>
      <c r="Y16" s="651">
        <f t="shared" si="22"/>
        <v>0</v>
      </c>
      <c r="Z16" s="651">
        <f t="shared" si="23"/>
        <v>1</v>
      </c>
      <c r="AA16" s="650" t="str">
        <f t="shared" si="24"/>
        <v>No</v>
      </c>
      <c r="AB16" s="669">
        <f t="shared" si="4"/>
        <v>0</v>
      </c>
      <c r="AC16" s="668">
        <f t="shared" si="25"/>
        <v>0.86950433166057739</v>
      </c>
      <c r="AD16" s="651">
        <f t="shared" si="5"/>
        <v>0.1</v>
      </c>
      <c r="AE16" s="651">
        <f t="shared" si="26"/>
        <v>0</v>
      </c>
      <c r="AF16" s="651">
        <f t="shared" si="27"/>
        <v>0</v>
      </c>
      <c r="AG16" s="651">
        <f t="shared" si="28"/>
        <v>0</v>
      </c>
      <c r="AH16" s="651" t="str">
        <f t="shared" si="29"/>
        <v>No</v>
      </c>
      <c r="AI16" s="669">
        <f t="shared" si="6"/>
        <v>0</v>
      </c>
      <c r="AJ16" s="674">
        <f t="shared" si="30"/>
        <v>0.89671924227021993</v>
      </c>
      <c r="AK16" s="654">
        <f t="shared" si="31"/>
        <v>6.1666666666666703E-2</v>
      </c>
      <c r="AL16" s="654">
        <f t="shared" si="32"/>
        <v>0</v>
      </c>
      <c r="AM16" s="654">
        <f t="shared" si="33"/>
        <v>0</v>
      </c>
      <c r="AN16" s="654">
        <f t="shared" si="34"/>
        <v>0</v>
      </c>
      <c r="AO16" s="654" t="str">
        <f t="shared" si="35"/>
        <v>No</v>
      </c>
      <c r="AP16" s="655">
        <f t="shared" si="8"/>
        <v>0</v>
      </c>
    </row>
    <row r="17" spans="1:42" ht="15">
      <c r="A17" s="777" t="s">
        <v>154</v>
      </c>
      <c r="B17" s="643">
        <v>12</v>
      </c>
      <c r="C17" s="766">
        <v>57</v>
      </c>
      <c r="D17" s="659">
        <v>30.02</v>
      </c>
      <c r="E17" s="660">
        <v>0.86</v>
      </c>
      <c r="F17" s="661">
        <v>0.79</v>
      </c>
      <c r="G17" s="688">
        <v>3</v>
      </c>
      <c r="H17" s="668">
        <f t="shared" si="10"/>
        <v>0.80616774435847849</v>
      </c>
      <c r="I17" s="651">
        <v>0.5</v>
      </c>
      <c r="J17" s="651">
        <f t="shared" si="11"/>
        <v>1</v>
      </c>
      <c r="K17" s="651">
        <f t="shared" si="12"/>
        <v>0</v>
      </c>
      <c r="L17" s="651">
        <f t="shared" si="13"/>
        <v>1</v>
      </c>
      <c r="M17" s="651" t="str">
        <f t="shared" si="14"/>
        <v>No</v>
      </c>
      <c r="N17" s="669">
        <f t="shared" si="0"/>
        <v>0</v>
      </c>
      <c r="O17" s="668">
        <f t="shared" si="15"/>
        <v>0.83495667552045272</v>
      </c>
      <c r="P17" s="651">
        <f t="shared" si="1"/>
        <v>0.3</v>
      </c>
      <c r="Q17" s="651">
        <f t="shared" si="16"/>
        <v>1</v>
      </c>
      <c r="R17" s="651">
        <f t="shared" si="17"/>
        <v>0</v>
      </c>
      <c r="S17" s="651">
        <f t="shared" si="18"/>
        <v>1</v>
      </c>
      <c r="T17" s="651" t="str">
        <f t="shared" si="19"/>
        <v>No</v>
      </c>
      <c r="U17" s="669">
        <f t="shared" si="2"/>
        <v>0</v>
      </c>
      <c r="V17" s="668">
        <f t="shared" si="20"/>
        <v>0.85244865421699267</v>
      </c>
      <c r="W17" s="651">
        <f t="shared" si="3"/>
        <v>0.2</v>
      </c>
      <c r="X17" s="651">
        <f t="shared" si="21"/>
        <v>1</v>
      </c>
      <c r="Y17" s="651">
        <f t="shared" si="22"/>
        <v>0</v>
      </c>
      <c r="Z17" s="651">
        <f t="shared" si="23"/>
        <v>1</v>
      </c>
      <c r="AA17" s="650" t="str">
        <f t="shared" si="24"/>
        <v>No</v>
      </c>
      <c r="AB17" s="669">
        <f t="shared" si="4"/>
        <v>0</v>
      </c>
      <c r="AC17" s="668">
        <f t="shared" si="25"/>
        <v>0.8695043316605775</v>
      </c>
      <c r="AD17" s="651">
        <f t="shared" si="5"/>
        <v>0.1</v>
      </c>
      <c r="AE17" s="651">
        <f t="shared" si="26"/>
        <v>0</v>
      </c>
      <c r="AF17" s="651">
        <f t="shared" si="27"/>
        <v>0</v>
      </c>
      <c r="AG17" s="651">
        <f t="shared" si="28"/>
        <v>0</v>
      </c>
      <c r="AH17" s="651" t="str">
        <f t="shared" si="29"/>
        <v>No</v>
      </c>
      <c r="AI17" s="669">
        <f t="shared" si="6"/>
        <v>0</v>
      </c>
      <c r="AJ17" s="674">
        <f t="shared" si="30"/>
        <v>0.89671924227021993</v>
      </c>
      <c r="AK17" s="654">
        <f t="shared" si="31"/>
        <v>6.1666666666666703E-2</v>
      </c>
      <c r="AL17" s="654">
        <f t="shared" si="32"/>
        <v>0</v>
      </c>
      <c r="AM17" s="654">
        <f t="shared" si="33"/>
        <v>0</v>
      </c>
      <c r="AN17" s="654">
        <f t="shared" si="34"/>
        <v>0</v>
      </c>
      <c r="AO17" s="654" t="str">
        <f t="shared" si="35"/>
        <v>No</v>
      </c>
      <c r="AP17" s="655">
        <f t="shared" si="8"/>
        <v>0</v>
      </c>
    </row>
    <row r="18" spans="1:42" ht="15">
      <c r="A18" s="777" t="s">
        <v>154</v>
      </c>
      <c r="B18" s="643">
        <v>12</v>
      </c>
      <c r="C18" s="766">
        <v>58</v>
      </c>
      <c r="D18" s="659">
        <v>39.9</v>
      </c>
      <c r="E18" s="660">
        <v>0.87814607754346419</v>
      </c>
      <c r="F18" s="661">
        <v>0.121</v>
      </c>
      <c r="G18" s="688">
        <v>3</v>
      </c>
      <c r="H18" s="668">
        <f t="shared" si="10"/>
        <v>0.83177386915062357</v>
      </c>
      <c r="I18" s="651">
        <v>0.5</v>
      </c>
      <c r="J18" s="651">
        <f t="shared" si="11"/>
        <v>1</v>
      </c>
      <c r="K18" s="651">
        <f t="shared" si="12"/>
        <v>1</v>
      </c>
      <c r="L18" s="651">
        <f t="shared" si="13"/>
        <v>2</v>
      </c>
      <c r="M18" s="651" t="str">
        <f t="shared" si="14"/>
        <v>Yes</v>
      </c>
      <c r="N18" s="669">
        <f t="shared" si="0"/>
        <v>0</v>
      </c>
      <c r="O18" s="668">
        <f t="shared" si="15"/>
        <v>0.8527671578758782</v>
      </c>
      <c r="P18" s="651">
        <f t="shared" si="1"/>
        <v>0.3</v>
      </c>
      <c r="Q18" s="651">
        <f t="shared" si="16"/>
        <v>1</v>
      </c>
      <c r="R18" s="651">
        <f t="shared" si="17"/>
        <v>1</v>
      </c>
      <c r="S18" s="651">
        <f t="shared" si="18"/>
        <v>2</v>
      </c>
      <c r="T18" s="651" t="str">
        <f t="shared" si="19"/>
        <v>Yes</v>
      </c>
      <c r="U18" s="669">
        <f t="shared" si="2"/>
        <v>0</v>
      </c>
      <c r="V18" s="668">
        <f t="shared" si="20"/>
        <v>0.86152498030509683</v>
      </c>
      <c r="W18" s="651">
        <f t="shared" si="3"/>
        <v>0.2</v>
      </c>
      <c r="X18" s="651">
        <f t="shared" si="21"/>
        <v>1</v>
      </c>
      <c r="Y18" s="651">
        <f t="shared" si="22"/>
        <v>1</v>
      </c>
      <c r="Z18" s="651">
        <f t="shared" si="23"/>
        <v>2</v>
      </c>
      <c r="AA18" s="650" t="str">
        <f t="shared" si="24"/>
        <v>Yes</v>
      </c>
      <c r="AB18" s="669">
        <f t="shared" si="4"/>
        <v>1</v>
      </c>
      <c r="AC18" s="668">
        <f t="shared" si="25"/>
        <v>0.87587271899660313</v>
      </c>
      <c r="AD18" s="651">
        <f t="shared" si="5"/>
        <v>0.1</v>
      </c>
      <c r="AE18" s="651">
        <f t="shared" si="26"/>
        <v>1</v>
      </c>
      <c r="AF18" s="651">
        <f t="shared" si="27"/>
        <v>0</v>
      </c>
      <c r="AG18" s="651">
        <f t="shared" si="28"/>
        <v>1</v>
      </c>
      <c r="AH18" s="651" t="str">
        <f t="shared" si="29"/>
        <v>No</v>
      </c>
      <c r="AI18" s="669">
        <f t="shared" si="6"/>
        <v>0</v>
      </c>
      <c r="AJ18" s="674">
        <f t="shared" si="30"/>
        <v>0.90536372958776967</v>
      </c>
      <c r="AK18" s="654">
        <f t="shared" si="31"/>
        <v>6.1666666666666703E-2</v>
      </c>
      <c r="AL18" s="654">
        <f t="shared" si="32"/>
        <v>0</v>
      </c>
      <c r="AM18" s="654">
        <f t="shared" si="33"/>
        <v>0</v>
      </c>
      <c r="AN18" s="654">
        <f t="shared" si="34"/>
        <v>0</v>
      </c>
      <c r="AO18" s="654" t="str">
        <f t="shared" si="35"/>
        <v>No</v>
      </c>
      <c r="AP18" s="655">
        <f t="shared" si="8"/>
        <v>0</v>
      </c>
    </row>
    <row r="19" spans="1:42" ht="15">
      <c r="A19" s="777" t="s">
        <v>154</v>
      </c>
      <c r="B19" s="643">
        <v>12</v>
      </c>
      <c r="C19" s="766">
        <v>66</v>
      </c>
      <c r="D19" s="659">
        <v>85.1</v>
      </c>
      <c r="E19" s="660">
        <v>0.89610037998901926</v>
      </c>
      <c r="F19" s="661" t="s">
        <v>607</v>
      </c>
      <c r="G19" s="688">
        <v>3</v>
      </c>
      <c r="H19" s="668">
        <f t="shared" si="10"/>
        <v>0.85</v>
      </c>
      <c r="I19" s="651">
        <v>0.5</v>
      </c>
      <c r="J19" s="651">
        <f t="shared" si="11"/>
        <v>1</v>
      </c>
      <c r="K19" s="651">
        <f t="shared" si="12"/>
        <v>0</v>
      </c>
      <c r="L19" s="651">
        <f t="shared" si="13"/>
        <v>1</v>
      </c>
      <c r="M19" s="651" t="str">
        <f t="shared" si="14"/>
        <v>No</v>
      </c>
      <c r="N19" s="669">
        <f t="shared" si="0"/>
        <v>0</v>
      </c>
      <c r="O19" s="668">
        <f t="shared" si="15"/>
        <v>0.87</v>
      </c>
      <c r="P19" s="651">
        <f t="shared" si="1"/>
        <v>0.5</v>
      </c>
      <c r="Q19" s="651">
        <f t="shared" si="16"/>
        <v>1</v>
      </c>
      <c r="R19" s="651">
        <f t="shared" si="17"/>
        <v>0</v>
      </c>
      <c r="S19" s="651">
        <f t="shared" si="18"/>
        <v>1</v>
      </c>
      <c r="T19" s="651" t="str">
        <f t="shared" si="19"/>
        <v>No</v>
      </c>
      <c r="U19" s="669">
        <f t="shared" si="2"/>
        <v>0</v>
      </c>
      <c r="V19" s="668">
        <f t="shared" si="20"/>
        <v>0.87</v>
      </c>
      <c r="W19" s="651">
        <f t="shared" si="3"/>
        <v>0.23</v>
      </c>
      <c r="X19" s="651">
        <f t="shared" si="21"/>
        <v>1</v>
      </c>
      <c r="Y19" s="651">
        <f t="shared" si="22"/>
        <v>0</v>
      </c>
      <c r="Z19" s="651">
        <f t="shared" si="23"/>
        <v>1</v>
      </c>
      <c r="AA19" s="650" t="str">
        <f t="shared" si="24"/>
        <v>No</v>
      </c>
      <c r="AB19" s="669">
        <f t="shared" si="4"/>
        <v>0</v>
      </c>
      <c r="AC19" s="668">
        <f t="shared" si="25"/>
        <v>0.87977914903472698</v>
      </c>
      <c r="AD19" s="651">
        <f t="shared" si="5"/>
        <v>0.21</v>
      </c>
      <c r="AE19" s="651">
        <f t="shared" si="26"/>
        <v>1</v>
      </c>
      <c r="AF19" s="651">
        <f t="shared" si="27"/>
        <v>0</v>
      </c>
      <c r="AG19" s="651">
        <f t="shared" si="28"/>
        <v>1</v>
      </c>
      <c r="AH19" s="651" t="str">
        <f t="shared" si="29"/>
        <v>No</v>
      </c>
      <c r="AI19" s="669">
        <f t="shared" si="6"/>
        <v>0</v>
      </c>
      <c r="AJ19" s="674">
        <f t="shared" si="30"/>
        <v>0.91039999999999999</v>
      </c>
      <c r="AK19" s="654">
        <f t="shared" si="31"/>
        <v>0.16500000000000001</v>
      </c>
      <c r="AL19" s="654">
        <f t="shared" si="32"/>
        <v>0</v>
      </c>
      <c r="AM19" s="654">
        <f t="shared" si="33"/>
        <v>0</v>
      </c>
      <c r="AN19" s="654">
        <f t="shared" si="34"/>
        <v>0</v>
      </c>
      <c r="AO19" s="654" t="str">
        <f t="shared" si="35"/>
        <v>No</v>
      </c>
      <c r="AP19" s="655">
        <f t="shared" si="8"/>
        <v>0</v>
      </c>
    </row>
    <row r="20" spans="1:42" ht="15">
      <c r="A20" s="777" t="s">
        <v>154</v>
      </c>
      <c r="B20" s="643">
        <v>12</v>
      </c>
      <c r="C20" s="766">
        <v>69</v>
      </c>
      <c r="D20" s="659">
        <v>56</v>
      </c>
      <c r="E20" s="660">
        <v>0.87052386549482286</v>
      </c>
      <c r="F20" s="661">
        <v>0.183</v>
      </c>
      <c r="G20" s="688">
        <v>3</v>
      </c>
      <c r="H20" s="668">
        <f t="shared" si="10"/>
        <v>0.85</v>
      </c>
      <c r="I20" s="651">
        <v>0.5</v>
      </c>
      <c r="J20" s="651">
        <f t="shared" si="11"/>
        <v>1</v>
      </c>
      <c r="K20" s="651">
        <f t="shared" si="12"/>
        <v>1</v>
      </c>
      <c r="L20" s="651">
        <f t="shared" si="13"/>
        <v>2</v>
      </c>
      <c r="M20" s="651" t="str">
        <f t="shared" si="14"/>
        <v>Yes</v>
      </c>
      <c r="N20" s="669">
        <f t="shared" si="0"/>
        <v>0</v>
      </c>
      <c r="O20" s="668">
        <f t="shared" si="15"/>
        <v>0.87</v>
      </c>
      <c r="P20" s="651">
        <f t="shared" si="1"/>
        <v>0.5</v>
      </c>
      <c r="Q20" s="651">
        <f t="shared" si="16"/>
        <v>1</v>
      </c>
      <c r="R20" s="651">
        <f t="shared" si="17"/>
        <v>1</v>
      </c>
      <c r="S20" s="651">
        <f t="shared" si="18"/>
        <v>2</v>
      </c>
      <c r="T20" s="651" t="str">
        <f t="shared" si="19"/>
        <v>Yes</v>
      </c>
      <c r="U20" s="669">
        <f t="shared" si="2"/>
        <v>0</v>
      </c>
      <c r="V20" s="668">
        <f t="shared" si="20"/>
        <v>0.87</v>
      </c>
      <c r="W20" s="651">
        <f t="shared" si="3"/>
        <v>0.23</v>
      </c>
      <c r="X20" s="651">
        <f t="shared" si="21"/>
        <v>1</v>
      </c>
      <c r="Y20" s="651">
        <f t="shared" si="22"/>
        <v>1</v>
      </c>
      <c r="Z20" s="651">
        <f t="shared" si="23"/>
        <v>2</v>
      </c>
      <c r="AA20" s="650" t="str">
        <f t="shared" si="24"/>
        <v>Yes</v>
      </c>
      <c r="AB20" s="669">
        <f t="shared" si="4"/>
        <v>1</v>
      </c>
      <c r="AC20" s="668">
        <f t="shared" si="25"/>
        <v>0.87977914903472698</v>
      </c>
      <c r="AD20" s="651">
        <f t="shared" si="5"/>
        <v>0.21</v>
      </c>
      <c r="AE20" s="651">
        <f t="shared" si="26"/>
        <v>0</v>
      </c>
      <c r="AF20" s="651">
        <f t="shared" si="27"/>
        <v>1</v>
      </c>
      <c r="AG20" s="651">
        <f t="shared" si="28"/>
        <v>1</v>
      </c>
      <c r="AH20" s="651" t="str">
        <f t="shared" si="29"/>
        <v>No</v>
      </c>
      <c r="AI20" s="669">
        <f t="shared" si="6"/>
        <v>0</v>
      </c>
      <c r="AJ20" s="674">
        <f t="shared" si="30"/>
        <v>0.91039999999999999</v>
      </c>
      <c r="AK20" s="654">
        <f t="shared" si="31"/>
        <v>0.16500000000000001</v>
      </c>
      <c r="AL20" s="654">
        <f t="shared" si="32"/>
        <v>0</v>
      </c>
      <c r="AM20" s="654">
        <f t="shared" si="33"/>
        <v>0</v>
      </c>
      <c r="AN20" s="654">
        <f t="shared" si="34"/>
        <v>0</v>
      </c>
      <c r="AO20" s="654" t="str">
        <f t="shared" si="35"/>
        <v>No</v>
      </c>
      <c r="AP20" s="655">
        <f t="shared" si="8"/>
        <v>0</v>
      </c>
    </row>
    <row r="21" spans="1:42" ht="15">
      <c r="A21" s="777" t="s">
        <v>154</v>
      </c>
      <c r="B21" s="643">
        <v>12</v>
      </c>
      <c r="C21" s="766">
        <v>70</v>
      </c>
      <c r="D21" s="659">
        <v>56</v>
      </c>
      <c r="E21" s="660">
        <v>0.85962519785084279</v>
      </c>
      <c r="F21" s="661">
        <v>0.21</v>
      </c>
      <c r="G21" s="688">
        <v>3</v>
      </c>
      <c r="H21" s="668">
        <f t="shared" si="10"/>
        <v>0.85</v>
      </c>
      <c r="I21" s="651">
        <v>0.5</v>
      </c>
      <c r="J21" s="651">
        <f t="shared" si="11"/>
        <v>1</v>
      </c>
      <c r="K21" s="651">
        <f t="shared" si="12"/>
        <v>1</v>
      </c>
      <c r="L21" s="651">
        <f t="shared" si="13"/>
        <v>2</v>
      </c>
      <c r="M21" s="651" t="str">
        <f t="shared" si="14"/>
        <v>Yes</v>
      </c>
      <c r="N21" s="669">
        <f t="shared" si="0"/>
        <v>1</v>
      </c>
      <c r="O21" s="668">
        <f t="shared" si="15"/>
        <v>0.87</v>
      </c>
      <c r="P21" s="651">
        <f t="shared" si="1"/>
        <v>0.5</v>
      </c>
      <c r="Q21" s="651">
        <f t="shared" si="16"/>
        <v>0</v>
      </c>
      <c r="R21" s="651">
        <f t="shared" si="17"/>
        <v>1</v>
      </c>
      <c r="S21" s="651">
        <f t="shared" si="18"/>
        <v>1</v>
      </c>
      <c r="T21" s="651" t="str">
        <f t="shared" si="19"/>
        <v>No</v>
      </c>
      <c r="U21" s="669">
        <f t="shared" si="2"/>
        <v>0</v>
      </c>
      <c r="V21" s="668">
        <f t="shared" si="20"/>
        <v>0.87</v>
      </c>
      <c r="W21" s="651">
        <f t="shared" si="3"/>
        <v>0.23</v>
      </c>
      <c r="X21" s="651">
        <f t="shared" si="21"/>
        <v>0</v>
      </c>
      <c r="Y21" s="651">
        <f t="shared" si="22"/>
        <v>1</v>
      </c>
      <c r="Z21" s="651">
        <f t="shared" si="23"/>
        <v>1</v>
      </c>
      <c r="AA21" s="650" t="str">
        <f t="shared" si="24"/>
        <v>No</v>
      </c>
      <c r="AB21" s="669">
        <f t="shared" si="4"/>
        <v>0</v>
      </c>
      <c r="AC21" s="668">
        <f t="shared" si="25"/>
        <v>0.87977914903472698</v>
      </c>
      <c r="AD21" s="651">
        <f t="shared" si="5"/>
        <v>0.21</v>
      </c>
      <c r="AE21" s="651">
        <f t="shared" si="26"/>
        <v>0</v>
      </c>
      <c r="AF21" s="651">
        <f t="shared" si="27"/>
        <v>0</v>
      </c>
      <c r="AG21" s="651">
        <f t="shared" si="28"/>
        <v>0</v>
      </c>
      <c r="AH21" s="651" t="str">
        <f t="shared" si="29"/>
        <v>No</v>
      </c>
      <c r="AI21" s="669">
        <f t="shared" si="6"/>
        <v>0</v>
      </c>
      <c r="AJ21" s="674">
        <f t="shared" si="30"/>
        <v>0.91039999999999999</v>
      </c>
      <c r="AK21" s="654">
        <f t="shared" si="31"/>
        <v>0.16500000000000001</v>
      </c>
      <c r="AL21" s="654">
        <f t="shared" si="32"/>
        <v>0</v>
      </c>
      <c r="AM21" s="654">
        <f t="shared" si="33"/>
        <v>0</v>
      </c>
      <c r="AN21" s="654">
        <f t="shared" si="34"/>
        <v>0</v>
      </c>
      <c r="AO21" s="654" t="str">
        <f t="shared" si="35"/>
        <v>No</v>
      </c>
      <c r="AP21" s="655">
        <f t="shared" si="8"/>
        <v>0</v>
      </c>
    </row>
    <row r="22" spans="1:42" ht="15">
      <c r="A22" s="777" t="s">
        <v>154</v>
      </c>
      <c r="B22" s="643">
        <v>12</v>
      </c>
      <c r="C22" s="766">
        <v>71</v>
      </c>
      <c r="D22" s="659">
        <v>56</v>
      </c>
      <c r="E22" s="660">
        <v>0.8483375973445465</v>
      </c>
      <c r="F22" s="661">
        <v>0.21</v>
      </c>
      <c r="G22" s="688">
        <v>3</v>
      </c>
      <c r="H22" s="668">
        <f t="shared" si="10"/>
        <v>0.85</v>
      </c>
      <c r="I22" s="651">
        <v>0.5</v>
      </c>
      <c r="J22" s="651">
        <f t="shared" si="11"/>
        <v>0</v>
      </c>
      <c r="K22" s="651">
        <f t="shared" si="12"/>
        <v>1</v>
      </c>
      <c r="L22" s="651">
        <f t="shared" si="13"/>
        <v>1</v>
      </c>
      <c r="M22" s="651" t="str">
        <f t="shared" si="14"/>
        <v>No</v>
      </c>
      <c r="N22" s="669">
        <f t="shared" si="0"/>
        <v>0</v>
      </c>
      <c r="O22" s="668">
        <f t="shared" si="15"/>
        <v>0.87</v>
      </c>
      <c r="P22" s="651">
        <f t="shared" si="1"/>
        <v>0.5</v>
      </c>
      <c r="Q22" s="651">
        <f t="shared" si="16"/>
        <v>0</v>
      </c>
      <c r="R22" s="651">
        <f t="shared" si="17"/>
        <v>1</v>
      </c>
      <c r="S22" s="651">
        <f t="shared" si="18"/>
        <v>1</v>
      </c>
      <c r="T22" s="651" t="str">
        <f t="shared" si="19"/>
        <v>No</v>
      </c>
      <c r="U22" s="669">
        <f t="shared" si="2"/>
        <v>0</v>
      </c>
      <c r="V22" s="668">
        <f t="shared" si="20"/>
        <v>0.87</v>
      </c>
      <c r="W22" s="651">
        <f t="shared" si="3"/>
        <v>0.23</v>
      </c>
      <c r="X22" s="651">
        <f t="shared" si="21"/>
        <v>0</v>
      </c>
      <c r="Y22" s="651">
        <f t="shared" si="22"/>
        <v>1</v>
      </c>
      <c r="Z22" s="651">
        <f t="shared" si="23"/>
        <v>1</v>
      </c>
      <c r="AA22" s="650" t="str">
        <f t="shared" si="24"/>
        <v>No</v>
      </c>
      <c r="AB22" s="669">
        <f t="shared" si="4"/>
        <v>0</v>
      </c>
      <c r="AC22" s="668">
        <f t="shared" si="25"/>
        <v>0.87977914903472698</v>
      </c>
      <c r="AD22" s="651">
        <f t="shared" si="5"/>
        <v>0.21</v>
      </c>
      <c r="AE22" s="651">
        <f t="shared" si="26"/>
        <v>0</v>
      </c>
      <c r="AF22" s="651">
        <f t="shared" si="27"/>
        <v>0</v>
      </c>
      <c r="AG22" s="651">
        <f t="shared" si="28"/>
        <v>0</v>
      </c>
      <c r="AH22" s="651" t="str">
        <f t="shared" si="29"/>
        <v>No</v>
      </c>
      <c r="AI22" s="669">
        <f t="shared" si="6"/>
        <v>0</v>
      </c>
      <c r="AJ22" s="674">
        <f t="shared" si="30"/>
        <v>0.91039999999999999</v>
      </c>
      <c r="AK22" s="654">
        <f t="shared" si="31"/>
        <v>0.16500000000000001</v>
      </c>
      <c r="AL22" s="654">
        <f t="shared" si="32"/>
        <v>0</v>
      </c>
      <c r="AM22" s="654">
        <f t="shared" si="33"/>
        <v>0</v>
      </c>
      <c r="AN22" s="654">
        <f t="shared" si="34"/>
        <v>0</v>
      </c>
      <c r="AO22" s="654" t="str">
        <f t="shared" si="35"/>
        <v>No</v>
      </c>
      <c r="AP22" s="655">
        <f t="shared" si="8"/>
        <v>0</v>
      </c>
    </row>
    <row r="23" spans="1:42" ht="15">
      <c r="A23" s="777" t="s">
        <v>154</v>
      </c>
      <c r="B23" s="643">
        <v>12</v>
      </c>
      <c r="C23" s="766">
        <v>72</v>
      </c>
      <c r="D23" s="659">
        <v>120.08000000000001</v>
      </c>
      <c r="E23" s="660">
        <v>0.88120648834234361</v>
      </c>
      <c r="F23" s="661">
        <v>0.18440000000000001</v>
      </c>
      <c r="G23" s="688">
        <v>4</v>
      </c>
      <c r="H23" s="668">
        <f t="shared" si="10"/>
        <v>0.85</v>
      </c>
      <c r="I23" s="651">
        <v>0.5</v>
      </c>
      <c r="J23" s="651">
        <f t="shared" si="11"/>
        <v>1</v>
      </c>
      <c r="K23" s="651">
        <f t="shared" si="12"/>
        <v>1</v>
      </c>
      <c r="L23" s="651">
        <f t="shared" si="13"/>
        <v>2</v>
      </c>
      <c r="M23" s="651" t="str">
        <f t="shared" si="14"/>
        <v>Yes</v>
      </c>
      <c r="N23" s="669">
        <f t="shared" si="0"/>
        <v>0</v>
      </c>
      <c r="O23" s="668">
        <f t="shared" si="15"/>
        <v>0.87</v>
      </c>
      <c r="P23" s="651">
        <f t="shared" si="1"/>
        <v>0.5</v>
      </c>
      <c r="Q23" s="651">
        <f t="shared" si="16"/>
        <v>1</v>
      </c>
      <c r="R23" s="651">
        <f t="shared" si="17"/>
        <v>1</v>
      </c>
      <c r="S23" s="651">
        <f t="shared" si="18"/>
        <v>2</v>
      </c>
      <c r="T23" s="651" t="str">
        <f t="shared" si="19"/>
        <v>Yes</v>
      </c>
      <c r="U23" s="669">
        <f t="shared" si="2"/>
        <v>0</v>
      </c>
      <c r="V23" s="668">
        <f t="shared" si="20"/>
        <v>0.87</v>
      </c>
      <c r="W23" s="651">
        <f t="shared" si="3"/>
        <v>0.23</v>
      </c>
      <c r="X23" s="651">
        <f t="shared" si="21"/>
        <v>1</v>
      </c>
      <c r="Y23" s="651">
        <f t="shared" si="22"/>
        <v>1</v>
      </c>
      <c r="Z23" s="651">
        <f t="shared" si="23"/>
        <v>2</v>
      </c>
      <c r="AA23" s="650" t="str">
        <f t="shared" si="24"/>
        <v>Yes</v>
      </c>
      <c r="AB23" s="669">
        <f t="shared" si="4"/>
        <v>0</v>
      </c>
      <c r="AC23" s="668">
        <f t="shared" si="25"/>
        <v>0.87977914903472698</v>
      </c>
      <c r="AD23" s="651">
        <f t="shared" si="5"/>
        <v>0.21</v>
      </c>
      <c r="AE23" s="651">
        <f t="shared" si="26"/>
        <v>1</v>
      </c>
      <c r="AF23" s="651">
        <f t="shared" si="27"/>
        <v>1</v>
      </c>
      <c r="AG23" s="651">
        <f t="shared" si="28"/>
        <v>2</v>
      </c>
      <c r="AH23" s="651" t="str">
        <f t="shared" si="29"/>
        <v>Yes</v>
      </c>
      <c r="AI23" s="669">
        <f t="shared" si="6"/>
        <v>1</v>
      </c>
      <c r="AJ23" s="674">
        <f t="shared" si="30"/>
        <v>0.91039999999999999</v>
      </c>
      <c r="AK23" s="654">
        <f t="shared" si="31"/>
        <v>0.16500000000000001</v>
      </c>
      <c r="AL23" s="654">
        <f t="shared" si="32"/>
        <v>0</v>
      </c>
      <c r="AM23" s="654">
        <f t="shared" si="33"/>
        <v>0</v>
      </c>
      <c r="AN23" s="654">
        <f t="shared" si="34"/>
        <v>0</v>
      </c>
      <c r="AO23" s="654" t="str">
        <f t="shared" si="35"/>
        <v>No</v>
      </c>
      <c r="AP23" s="655">
        <f t="shared" si="8"/>
        <v>0</v>
      </c>
    </row>
    <row r="24" spans="1:42" ht="15">
      <c r="A24" s="777" t="s">
        <v>154</v>
      </c>
      <c r="B24" s="643">
        <v>12</v>
      </c>
      <c r="C24" s="766">
        <v>73</v>
      </c>
      <c r="D24" s="659">
        <v>120.25</v>
      </c>
      <c r="E24" s="660">
        <v>0.82057411782258927</v>
      </c>
      <c r="F24" s="661">
        <v>0.84989999999999999</v>
      </c>
      <c r="G24" s="688">
        <v>4</v>
      </c>
      <c r="H24" s="668">
        <f t="shared" si="10"/>
        <v>0.85</v>
      </c>
      <c r="I24" s="651">
        <v>0.5</v>
      </c>
      <c r="J24" s="651">
        <f t="shared" si="11"/>
        <v>0</v>
      </c>
      <c r="K24" s="651">
        <f t="shared" si="12"/>
        <v>0</v>
      </c>
      <c r="L24" s="651">
        <f t="shared" si="13"/>
        <v>0</v>
      </c>
      <c r="M24" s="651" t="str">
        <f t="shared" si="14"/>
        <v>No</v>
      </c>
      <c r="N24" s="669">
        <f t="shared" si="0"/>
        <v>0</v>
      </c>
      <c r="O24" s="668">
        <f t="shared" si="15"/>
        <v>0.87</v>
      </c>
      <c r="P24" s="651">
        <f t="shared" si="1"/>
        <v>0.5</v>
      </c>
      <c r="Q24" s="651">
        <f t="shared" si="16"/>
        <v>0</v>
      </c>
      <c r="R24" s="651">
        <f t="shared" si="17"/>
        <v>0</v>
      </c>
      <c r="S24" s="651">
        <f t="shared" si="18"/>
        <v>0</v>
      </c>
      <c r="T24" s="651" t="str">
        <f t="shared" si="19"/>
        <v>No</v>
      </c>
      <c r="U24" s="669">
        <f t="shared" si="2"/>
        <v>0</v>
      </c>
      <c r="V24" s="668">
        <f t="shared" si="20"/>
        <v>0.87</v>
      </c>
      <c r="W24" s="651">
        <f t="shared" si="3"/>
        <v>0.23</v>
      </c>
      <c r="X24" s="651">
        <f t="shared" si="21"/>
        <v>0</v>
      </c>
      <c r="Y24" s="651">
        <f t="shared" si="22"/>
        <v>0</v>
      </c>
      <c r="Z24" s="651">
        <f t="shared" si="23"/>
        <v>0</v>
      </c>
      <c r="AA24" s="650" t="str">
        <f t="shared" si="24"/>
        <v>No</v>
      </c>
      <c r="AB24" s="669">
        <f t="shared" si="4"/>
        <v>0</v>
      </c>
      <c r="AC24" s="668">
        <f t="shared" si="25"/>
        <v>0.87977914903472698</v>
      </c>
      <c r="AD24" s="651">
        <f t="shared" si="5"/>
        <v>0.21</v>
      </c>
      <c r="AE24" s="651">
        <f t="shared" si="26"/>
        <v>0</v>
      </c>
      <c r="AF24" s="651">
        <f t="shared" si="27"/>
        <v>0</v>
      </c>
      <c r="AG24" s="651">
        <f t="shared" si="28"/>
        <v>0</v>
      </c>
      <c r="AH24" s="651" t="str">
        <f t="shared" si="29"/>
        <v>No</v>
      </c>
      <c r="AI24" s="669">
        <f t="shared" si="6"/>
        <v>0</v>
      </c>
      <c r="AJ24" s="674">
        <f t="shared" si="30"/>
        <v>0.91039999999999999</v>
      </c>
      <c r="AK24" s="654">
        <f t="shared" si="31"/>
        <v>0.16500000000000001</v>
      </c>
      <c r="AL24" s="654">
        <f t="shared" si="32"/>
        <v>0</v>
      </c>
      <c r="AM24" s="654">
        <f t="shared" si="33"/>
        <v>0</v>
      </c>
      <c r="AN24" s="654">
        <f t="shared" si="34"/>
        <v>0</v>
      </c>
      <c r="AO24" s="654" t="str">
        <f t="shared" si="35"/>
        <v>No</v>
      </c>
      <c r="AP24" s="655">
        <f t="shared" si="8"/>
        <v>0</v>
      </c>
    </row>
    <row r="25" spans="1:42" ht="15">
      <c r="A25" s="777" t="s">
        <v>154</v>
      </c>
      <c r="B25" s="643">
        <v>12</v>
      </c>
      <c r="C25" s="766">
        <v>74</v>
      </c>
      <c r="D25" s="659">
        <v>120.06</v>
      </c>
      <c r="E25" s="660">
        <v>0.86956567649119609</v>
      </c>
      <c r="F25" s="661">
        <v>0.15379999999999999</v>
      </c>
      <c r="G25" s="688">
        <v>4</v>
      </c>
      <c r="H25" s="668">
        <f t="shared" si="10"/>
        <v>0.85</v>
      </c>
      <c r="I25" s="651">
        <v>0.5</v>
      </c>
      <c r="J25" s="651">
        <f t="shared" si="11"/>
        <v>1</v>
      </c>
      <c r="K25" s="651">
        <f t="shared" si="12"/>
        <v>1</v>
      </c>
      <c r="L25" s="651">
        <f t="shared" si="13"/>
        <v>2</v>
      </c>
      <c r="M25" s="651" t="str">
        <f t="shared" si="14"/>
        <v>Yes</v>
      </c>
      <c r="N25" s="669">
        <f t="shared" si="0"/>
        <v>1</v>
      </c>
      <c r="O25" s="668">
        <f t="shared" si="15"/>
        <v>0.87</v>
      </c>
      <c r="P25" s="651">
        <f t="shared" si="1"/>
        <v>0.5</v>
      </c>
      <c r="Q25" s="651">
        <f t="shared" si="16"/>
        <v>0</v>
      </c>
      <c r="R25" s="651">
        <f t="shared" si="17"/>
        <v>1</v>
      </c>
      <c r="S25" s="651">
        <f t="shared" si="18"/>
        <v>1</v>
      </c>
      <c r="T25" s="651" t="str">
        <f t="shared" si="19"/>
        <v>No</v>
      </c>
      <c r="U25" s="669">
        <f t="shared" si="2"/>
        <v>0</v>
      </c>
      <c r="V25" s="668">
        <f t="shared" si="20"/>
        <v>0.87</v>
      </c>
      <c r="W25" s="651">
        <f t="shared" si="3"/>
        <v>0.23</v>
      </c>
      <c r="X25" s="651">
        <f t="shared" si="21"/>
        <v>0</v>
      </c>
      <c r="Y25" s="651">
        <f t="shared" si="22"/>
        <v>1</v>
      </c>
      <c r="Z25" s="651">
        <f t="shared" si="23"/>
        <v>1</v>
      </c>
      <c r="AA25" s="650" t="str">
        <f t="shared" si="24"/>
        <v>No</v>
      </c>
      <c r="AB25" s="669">
        <f t="shared" si="4"/>
        <v>0</v>
      </c>
      <c r="AC25" s="668">
        <f t="shared" si="25"/>
        <v>0.87977914903472698</v>
      </c>
      <c r="AD25" s="651">
        <f t="shared" si="5"/>
        <v>0.21</v>
      </c>
      <c r="AE25" s="651">
        <f t="shared" si="26"/>
        <v>0</v>
      </c>
      <c r="AF25" s="651">
        <f t="shared" si="27"/>
        <v>1</v>
      </c>
      <c r="AG25" s="651">
        <f t="shared" si="28"/>
        <v>1</v>
      </c>
      <c r="AH25" s="651" t="str">
        <f t="shared" si="29"/>
        <v>No</v>
      </c>
      <c r="AI25" s="669">
        <f t="shared" si="6"/>
        <v>0</v>
      </c>
      <c r="AJ25" s="674">
        <f t="shared" si="30"/>
        <v>0.91039999999999999</v>
      </c>
      <c r="AK25" s="654">
        <f t="shared" si="31"/>
        <v>0.16500000000000001</v>
      </c>
      <c r="AL25" s="654">
        <f t="shared" si="32"/>
        <v>0</v>
      </c>
      <c r="AM25" s="654">
        <f t="shared" si="33"/>
        <v>1</v>
      </c>
      <c r="AN25" s="654">
        <f t="shared" si="34"/>
        <v>1</v>
      </c>
      <c r="AO25" s="654" t="str">
        <f t="shared" si="35"/>
        <v>No</v>
      </c>
      <c r="AP25" s="655">
        <f t="shared" si="8"/>
        <v>0</v>
      </c>
    </row>
    <row r="26" spans="1:42" ht="15">
      <c r="A26" s="777" t="s">
        <v>154</v>
      </c>
      <c r="B26" s="643">
        <v>12</v>
      </c>
      <c r="C26" s="766">
        <v>75</v>
      </c>
      <c r="D26" s="659">
        <v>120.08000000000001</v>
      </c>
      <c r="E26" s="660">
        <v>0.86648715707365542</v>
      </c>
      <c r="F26" s="661">
        <v>0.16</v>
      </c>
      <c r="G26" s="688">
        <v>4</v>
      </c>
      <c r="H26" s="668">
        <f t="shared" si="10"/>
        <v>0.85</v>
      </c>
      <c r="I26" s="651">
        <v>0.5</v>
      </c>
      <c r="J26" s="651">
        <f t="shared" si="11"/>
        <v>1</v>
      </c>
      <c r="K26" s="651">
        <f t="shared" si="12"/>
        <v>1</v>
      </c>
      <c r="L26" s="651">
        <f t="shared" si="13"/>
        <v>2</v>
      </c>
      <c r="M26" s="651" t="str">
        <f t="shared" si="14"/>
        <v>Yes</v>
      </c>
      <c r="N26" s="669">
        <f t="shared" si="0"/>
        <v>1</v>
      </c>
      <c r="O26" s="668">
        <f t="shared" si="15"/>
        <v>0.87</v>
      </c>
      <c r="P26" s="651">
        <f t="shared" si="1"/>
        <v>0.5</v>
      </c>
      <c r="Q26" s="651">
        <f t="shared" si="16"/>
        <v>0</v>
      </c>
      <c r="R26" s="651">
        <f t="shared" si="17"/>
        <v>1</v>
      </c>
      <c r="S26" s="651">
        <f t="shared" si="18"/>
        <v>1</v>
      </c>
      <c r="T26" s="651" t="str">
        <f t="shared" si="19"/>
        <v>No</v>
      </c>
      <c r="U26" s="669">
        <f t="shared" si="2"/>
        <v>0</v>
      </c>
      <c r="V26" s="668">
        <f t="shared" si="20"/>
        <v>0.87</v>
      </c>
      <c r="W26" s="651">
        <f t="shared" si="3"/>
        <v>0.23</v>
      </c>
      <c r="X26" s="651">
        <f t="shared" si="21"/>
        <v>0</v>
      </c>
      <c r="Y26" s="651">
        <f t="shared" si="22"/>
        <v>1</v>
      </c>
      <c r="Z26" s="651">
        <f t="shared" si="23"/>
        <v>1</v>
      </c>
      <c r="AA26" s="650" t="str">
        <f t="shared" si="24"/>
        <v>No</v>
      </c>
      <c r="AB26" s="669">
        <f t="shared" si="4"/>
        <v>0</v>
      </c>
      <c r="AC26" s="668">
        <f t="shared" si="25"/>
        <v>0.87977914903472698</v>
      </c>
      <c r="AD26" s="651">
        <f t="shared" si="5"/>
        <v>0.21</v>
      </c>
      <c r="AE26" s="651">
        <f t="shared" si="26"/>
        <v>0</v>
      </c>
      <c r="AF26" s="651">
        <f t="shared" si="27"/>
        <v>1</v>
      </c>
      <c r="AG26" s="651">
        <f t="shared" si="28"/>
        <v>1</v>
      </c>
      <c r="AH26" s="651" t="str">
        <f t="shared" si="29"/>
        <v>No</v>
      </c>
      <c r="AI26" s="669">
        <f t="shared" si="6"/>
        <v>0</v>
      </c>
      <c r="AJ26" s="674">
        <f t="shared" si="30"/>
        <v>0.91039999999999999</v>
      </c>
      <c r="AK26" s="654">
        <f t="shared" si="31"/>
        <v>0.16500000000000001</v>
      </c>
      <c r="AL26" s="654">
        <f t="shared" si="32"/>
        <v>0</v>
      </c>
      <c r="AM26" s="654">
        <f t="shared" si="33"/>
        <v>1</v>
      </c>
      <c r="AN26" s="654">
        <f t="shared" si="34"/>
        <v>1</v>
      </c>
      <c r="AO26" s="654" t="str">
        <f t="shared" si="35"/>
        <v>No</v>
      </c>
      <c r="AP26" s="655">
        <f t="shared" si="8"/>
        <v>0</v>
      </c>
    </row>
    <row r="27" spans="1:42" ht="15">
      <c r="A27" s="777" t="s">
        <v>154</v>
      </c>
      <c r="B27" s="643">
        <v>12</v>
      </c>
      <c r="C27" s="766">
        <v>76</v>
      </c>
      <c r="D27" s="659">
        <v>120</v>
      </c>
      <c r="E27" s="660">
        <v>0.86709959942014481</v>
      </c>
      <c r="F27" s="661">
        <v>0.151</v>
      </c>
      <c r="G27" s="688">
        <v>4</v>
      </c>
      <c r="H27" s="668">
        <f t="shared" si="10"/>
        <v>0.85</v>
      </c>
      <c r="I27" s="651">
        <v>0.5</v>
      </c>
      <c r="J27" s="651">
        <f t="shared" si="11"/>
        <v>1</v>
      </c>
      <c r="K27" s="651">
        <f t="shared" si="12"/>
        <v>1</v>
      </c>
      <c r="L27" s="651">
        <f t="shared" si="13"/>
        <v>2</v>
      </c>
      <c r="M27" s="651" t="str">
        <f t="shared" si="14"/>
        <v>Yes</v>
      </c>
      <c r="N27" s="669">
        <f t="shared" si="0"/>
        <v>1</v>
      </c>
      <c r="O27" s="668">
        <f t="shared" si="15"/>
        <v>0.87</v>
      </c>
      <c r="P27" s="651">
        <f t="shared" si="1"/>
        <v>0.5</v>
      </c>
      <c r="Q27" s="651">
        <f t="shared" si="16"/>
        <v>0</v>
      </c>
      <c r="R27" s="651">
        <f t="shared" si="17"/>
        <v>1</v>
      </c>
      <c r="S27" s="651">
        <f t="shared" si="18"/>
        <v>1</v>
      </c>
      <c r="T27" s="651" t="str">
        <f t="shared" si="19"/>
        <v>No</v>
      </c>
      <c r="U27" s="669">
        <f t="shared" si="2"/>
        <v>0</v>
      </c>
      <c r="V27" s="668">
        <f t="shared" si="20"/>
        <v>0.87</v>
      </c>
      <c r="W27" s="651">
        <f t="shared" si="3"/>
        <v>0.23</v>
      </c>
      <c r="X27" s="651">
        <f t="shared" si="21"/>
        <v>0</v>
      </c>
      <c r="Y27" s="651">
        <f t="shared" si="22"/>
        <v>1</v>
      </c>
      <c r="Z27" s="651">
        <f t="shared" si="23"/>
        <v>1</v>
      </c>
      <c r="AA27" s="650" t="str">
        <f t="shared" si="24"/>
        <v>No</v>
      </c>
      <c r="AB27" s="669">
        <f t="shared" si="4"/>
        <v>0</v>
      </c>
      <c r="AC27" s="668">
        <f t="shared" si="25"/>
        <v>0.87977914903472698</v>
      </c>
      <c r="AD27" s="651">
        <f t="shared" si="5"/>
        <v>0.21</v>
      </c>
      <c r="AE27" s="651">
        <f t="shared" si="26"/>
        <v>0</v>
      </c>
      <c r="AF27" s="651">
        <f t="shared" si="27"/>
        <v>1</v>
      </c>
      <c r="AG27" s="651">
        <f t="shared" si="28"/>
        <v>1</v>
      </c>
      <c r="AH27" s="651" t="str">
        <f t="shared" si="29"/>
        <v>No</v>
      </c>
      <c r="AI27" s="669">
        <f t="shared" si="6"/>
        <v>0</v>
      </c>
      <c r="AJ27" s="674">
        <f t="shared" si="30"/>
        <v>0.91039999999999999</v>
      </c>
      <c r="AK27" s="654">
        <f t="shared" si="31"/>
        <v>0.16500000000000001</v>
      </c>
      <c r="AL27" s="654">
        <f t="shared" si="32"/>
        <v>0</v>
      </c>
      <c r="AM27" s="654">
        <f t="shared" si="33"/>
        <v>1</v>
      </c>
      <c r="AN27" s="654">
        <f t="shared" si="34"/>
        <v>1</v>
      </c>
      <c r="AO27" s="654" t="str">
        <f t="shared" si="35"/>
        <v>No</v>
      </c>
      <c r="AP27" s="655">
        <f t="shared" si="8"/>
        <v>0</v>
      </c>
    </row>
    <row r="28" spans="1:42" ht="15">
      <c r="A28" s="777" t="s">
        <v>154</v>
      </c>
      <c r="B28" s="643">
        <v>12</v>
      </c>
      <c r="C28" s="766">
        <v>77</v>
      </c>
      <c r="D28" s="659">
        <v>120.08000000000001</v>
      </c>
      <c r="E28" s="660">
        <v>0.86942466284215281</v>
      </c>
      <c r="F28" s="661">
        <v>0.1517</v>
      </c>
      <c r="G28" s="688">
        <v>4</v>
      </c>
      <c r="H28" s="668">
        <f t="shared" si="10"/>
        <v>0.85</v>
      </c>
      <c r="I28" s="651">
        <v>0.5</v>
      </c>
      <c r="J28" s="651">
        <f t="shared" si="11"/>
        <v>1</v>
      </c>
      <c r="K28" s="651">
        <f t="shared" si="12"/>
        <v>1</v>
      </c>
      <c r="L28" s="651">
        <f t="shared" si="13"/>
        <v>2</v>
      </c>
      <c r="M28" s="651" t="str">
        <f t="shared" si="14"/>
        <v>Yes</v>
      </c>
      <c r="N28" s="669">
        <f t="shared" si="0"/>
        <v>1</v>
      </c>
      <c r="O28" s="668">
        <f t="shared" si="15"/>
        <v>0.87</v>
      </c>
      <c r="P28" s="651">
        <f t="shared" si="1"/>
        <v>0.5</v>
      </c>
      <c r="Q28" s="651">
        <f t="shared" si="16"/>
        <v>0</v>
      </c>
      <c r="R28" s="651">
        <f t="shared" si="17"/>
        <v>1</v>
      </c>
      <c r="S28" s="651">
        <f t="shared" si="18"/>
        <v>1</v>
      </c>
      <c r="T28" s="651" t="str">
        <f t="shared" si="19"/>
        <v>No</v>
      </c>
      <c r="U28" s="669">
        <f t="shared" si="2"/>
        <v>0</v>
      </c>
      <c r="V28" s="668">
        <f t="shared" si="20"/>
        <v>0.87</v>
      </c>
      <c r="W28" s="651">
        <f t="shared" si="3"/>
        <v>0.23</v>
      </c>
      <c r="X28" s="651">
        <f t="shared" si="21"/>
        <v>0</v>
      </c>
      <c r="Y28" s="651">
        <f t="shared" si="22"/>
        <v>1</v>
      </c>
      <c r="Z28" s="651">
        <f t="shared" si="23"/>
        <v>1</v>
      </c>
      <c r="AA28" s="650" t="str">
        <f t="shared" si="24"/>
        <v>No</v>
      </c>
      <c r="AB28" s="669">
        <f t="shared" si="4"/>
        <v>0</v>
      </c>
      <c r="AC28" s="668">
        <f t="shared" si="25"/>
        <v>0.87977914903472698</v>
      </c>
      <c r="AD28" s="651">
        <f t="shared" si="5"/>
        <v>0.21</v>
      </c>
      <c r="AE28" s="651">
        <f t="shared" si="26"/>
        <v>0</v>
      </c>
      <c r="AF28" s="651">
        <f t="shared" si="27"/>
        <v>1</v>
      </c>
      <c r="AG28" s="651">
        <f t="shared" si="28"/>
        <v>1</v>
      </c>
      <c r="AH28" s="651" t="str">
        <f t="shared" si="29"/>
        <v>No</v>
      </c>
      <c r="AI28" s="669">
        <f t="shared" si="6"/>
        <v>0</v>
      </c>
      <c r="AJ28" s="674">
        <f t="shared" si="30"/>
        <v>0.91039999999999999</v>
      </c>
      <c r="AK28" s="654">
        <f t="shared" si="31"/>
        <v>0.16500000000000001</v>
      </c>
      <c r="AL28" s="654">
        <f t="shared" si="32"/>
        <v>0</v>
      </c>
      <c r="AM28" s="654">
        <f t="shared" si="33"/>
        <v>1</v>
      </c>
      <c r="AN28" s="654">
        <f t="shared" si="34"/>
        <v>1</v>
      </c>
      <c r="AO28" s="654" t="str">
        <f t="shared" si="35"/>
        <v>No</v>
      </c>
      <c r="AP28" s="655">
        <f t="shared" si="8"/>
        <v>0</v>
      </c>
    </row>
    <row r="29" spans="1:42" ht="15">
      <c r="A29" s="777" t="s">
        <v>154</v>
      </c>
      <c r="B29" s="643">
        <v>12</v>
      </c>
      <c r="C29" s="766">
        <v>78</v>
      </c>
      <c r="D29" s="659">
        <v>135.09</v>
      </c>
      <c r="E29" s="660">
        <v>0.87391738216327375</v>
      </c>
      <c r="F29" s="661">
        <v>0.5988</v>
      </c>
      <c r="G29" s="688">
        <v>4</v>
      </c>
      <c r="H29" s="668">
        <f t="shared" si="10"/>
        <v>0.85</v>
      </c>
      <c r="I29" s="651">
        <v>0.5</v>
      </c>
      <c r="J29" s="651">
        <f t="shared" si="11"/>
        <v>1</v>
      </c>
      <c r="K29" s="651">
        <f t="shared" si="12"/>
        <v>0</v>
      </c>
      <c r="L29" s="651">
        <f t="shared" si="13"/>
        <v>1</v>
      </c>
      <c r="M29" s="651" t="str">
        <f t="shared" si="14"/>
        <v>No</v>
      </c>
      <c r="N29" s="669">
        <f t="shared" si="0"/>
        <v>0</v>
      </c>
      <c r="O29" s="668">
        <f t="shared" si="15"/>
        <v>0.87</v>
      </c>
      <c r="P29" s="651">
        <f t="shared" si="1"/>
        <v>0.5</v>
      </c>
      <c r="Q29" s="651">
        <f t="shared" si="16"/>
        <v>1</v>
      </c>
      <c r="R29" s="651">
        <f t="shared" si="17"/>
        <v>0</v>
      </c>
      <c r="S29" s="651">
        <f t="shared" si="18"/>
        <v>1</v>
      </c>
      <c r="T29" s="651" t="str">
        <f t="shared" si="19"/>
        <v>No</v>
      </c>
      <c r="U29" s="669">
        <f t="shared" si="2"/>
        <v>0</v>
      </c>
      <c r="V29" s="668">
        <f t="shared" si="20"/>
        <v>0.87</v>
      </c>
      <c r="W29" s="651">
        <f t="shared" si="3"/>
        <v>0.23</v>
      </c>
      <c r="X29" s="651">
        <f t="shared" si="21"/>
        <v>1</v>
      </c>
      <c r="Y29" s="651">
        <f t="shared" si="22"/>
        <v>0</v>
      </c>
      <c r="Z29" s="651">
        <f t="shared" si="23"/>
        <v>1</v>
      </c>
      <c r="AA29" s="650" t="str">
        <f t="shared" si="24"/>
        <v>No</v>
      </c>
      <c r="AB29" s="669">
        <f t="shared" si="4"/>
        <v>0</v>
      </c>
      <c r="AC29" s="668">
        <f t="shared" si="25"/>
        <v>0.87977914903472698</v>
      </c>
      <c r="AD29" s="651">
        <f t="shared" si="5"/>
        <v>0.21</v>
      </c>
      <c r="AE29" s="651">
        <f t="shared" si="26"/>
        <v>0</v>
      </c>
      <c r="AF29" s="651">
        <f t="shared" si="27"/>
        <v>0</v>
      </c>
      <c r="AG29" s="651">
        <f t="shared" si="28"/>
        <v>0</v>
      </c>
      <c r="AH29" s="651" t="str">
        <f t="shared" si="29"/>
        <v>No</v>
      </c>
      <c r="AI29" s="669">
        <f t="shared" si="6"/>
        <v>0</v>
      </c>
      <c r="AJ29" s="674">
        <f t="shared" si="30"/>
        <v>0.91039999999999999</v>
      </c>
      <c r="AK29" s="654">
        <f t="shared" si="31"/>
        <v>0.16500000000000001</v>
      </c>
      <c r="AL29" s="654">
        <f t="shared" si="32"/>
        <v>0</v>
      </c>
      <c r="AM29" s="654">
        <f t="shared" si="33"/>
        <v>0</v>
      </c>
      <c r="AN29" s="654">
        <f t="shared" si="34"/>
        <v>0</v>
      </c>
      <c r="AO29" s="654" t="str">
        <f t="shared" si="35"/>
        <v>No</v>
      </c>
      <c r="AP29" s="655">
        <f t="shared" si="8"/>
        <v>0</v>
      </c>
    </row>
    <row r="30" spans="1:42" ht="15">
      <c r="A30" s="777" t="s">
        <v>154</v>
      </c>
      <c r="B30" s="643">
        <v>12</v>
      </c>
      <c r="C30" s="766">
        <v>79</v>
      </c>
      <c r="D30" s="659">
        <v>134.9</v>
      </c>
      <c r="E30" s="660">
        <v>0.86203524257025987</v>
      </c>
      <c r="F30" s="661">
        <v>0.36559999999999998</v>
      </c>
      <c r="G30" s="688">
        <v>4</v>
      </c>
      <c r="H30" s="668">
        <f t="shared" si="10"/>
        <v>0.85</v>
      </c>
      <c r="I30" s="651">
        <v>0.5</v>
      </c>
      <c r="J30" s="651">
        <f t="shared" si="11"/>
        <v>1</v>
      </c>
      <c r="K30" s="651">
        <f t="shared" si="12"/>
        <v>1</v>
      </c>
      <c r="L30" s="651">
        <f t="shared" si="13"/>
        <v>2</v>
      </c>
      <c r="M30" s="651" t="str">
        <f t="shared" si="14"/>
        <v>Yes</v>
      </c>
      <c r="N30" s="669">
        <f t="shared" si="0"/>
        <v>1</v>
      </c>
      <c r="O30" s="668">
        <f t="shared" si="15"/>
        <v>0.87</v>
      </c>
      <c r="P30" s="651">
        <f t="shared" si="1"/>
        <v>0.5</v>
      </c>
      <c r="Q30" s="651">
        <f t="shared" si="16"/>
        <v>0</v>
      </c>
      <c r="R30" s="651">
        <f t="shared" si="17"/>
        <v>1</v>
      </c>
      <c r="S30" s="651">
        <f t="shared" si="18"/>
        <v>1</v>
      </c>
      <c r="T30" s="651" t="str">
        <f t="shared" si="19"/>
        <v>No</v>
      </c>
      <c r="U30" s="669">
        <f t="shared" si="2"/>
        <v>0</v>
      </c>
      <c r="V30" s="668">
        <f t="shared" si="20"/>
        <v>0.87</v>
      </c>
      <c r="W30" s="651">
        <f t="shared" si="3"/>
        <v>0.23</v>
      </c>
      <c r="X30" s="651">
        <f t="shared" si="21"/>
        <v>0</v>
      </c>
      <c r="Y30" s="651">
        <f t="shared" si="22"/>
        <v>0</v>
      </c>
      <c r="Z30" s="651">
        <f t="shared" si="23"/>
        <v>0</v>
      </c>
      <c r="AA30" s="650" t="str">
        <f t="shared" si="24"/>
        <v>No</v>
      </c>
      <c r="AB30" s="669">
        <f t="shared" si="4"/>
        <v>0</v>
      </c>
      <c r="AC30" s="668">
        <f t="shared" si="25"/>
        <v>0.87977914903472698</v>
      </c>
      <c r="AD30" s="651">
        <f t="shared" si="5"/>
        <v>0.21</v>
      </c>
      <c r="AE30" s="651">
        <f t="shared" si="26"/>
        <v>0</v>
      </c>
      <c r="AF30" s="651">
        <f t="shared" si="27"/>
        <v>0</v>
      </c>
      <c r="AG30" s="651">
        <f t="shared" si="28"/>
        <v>0</v>
      </c>
      <c r="AH30" s="651" t="str">
        <f t="shared" si="29"/>
        <v>No</v>
      </c>
      <c r="AI30" s="669">
        <f t="shared" si="6"/>
        <v>0</v>
      </c>
      <c r="AJ30" s="674">
        <f t="shared" si="30"/>
        <v>0.91039999999999999</v>
      </c>
      <c r="AK30" s="654">
        <f t="shared" si="31"/>
        <v>0.16500000000000001</v>
      </c>
      <c r="AL30" s="654">
        <f t="shared" si="32"/>
        <v>0</v>
      </c>
      <c r="AM30" s="654">
        <f t="shared" si="33"/>
        <v>0</v>
      </c>
      <c r="AN30" s="654">
        <f t="shared" si="34"/>
        <v>0</v>
      </c>
      <c r="AO30" s="654" t="str">
        <f t="shared" si="35"/>
        <v>No</v>
      </c>
      <c r="AP30" s="655">
        <f t="shared" si="8"/>
        <v>0</v>
      </c>
    </row>
    <row r="31" spans="1:42" ht="15">
      <c r="A31" s="777" t="s">
        <v>154</v>
      </c>
      <c r="B31" s="643">
        <v>12</v>
      </c>
      <c r="C31" s="766">
        <v>80</v>
      </c>
      <c r="D31" s="659">
        <v>135.09</v>
      </c>
      <c r="E31" s="660">
        <v>0.849326132189825</v>
      </c>
      <c r="F31" s="661">
        <v>0.21240000000000001</v>
      </c>
      <c r="G31" s="688">
        <v>4</v>
      </c>
      <c r="H31" s="668">
        <f t="shared" si="10"/>
        <v>0.85</v>
      </c>
      <c r="I31" s="651">
        <v>0.5</v>
      </c>
      <c r="J31" s="651">
        <f t="shared" si="11"/>
        <v>0</v>
      </c>
      <c r="K31" s="651">
        <f t="shared" si="12"/>
        <v>1</v>
      </c>
      <c r="L31" s="651">
        <f t="shared" si="13"/>
        <v>1</v>
      </c>
      <c r="M31" s="651" t="str">
        <f t="shared" si="14"/>
        <v>No</v>
      </c>
      <c r="N31" s="669">
        <f t="shared" si="0"/>
        <v>0</v>
      </c>
      <c r="O31" s="668">
        <f t="shared" si="15"/>
        <v>0.87</v>
      </c>
      <c r="P31" s="651">
        <f t="shared" si="1"/>
        <v>0.5</v>
      </c>
      <c r="Q31" s="651">
        <f t="shared" si="16"/>
        <v>0</v>
      </c>
      <c r="R31" s="651">
        <f t="shared" si="17"/>
        <v>1</v>
      </c>
      <c r="S31" s="651">
        <f t="shared" si="18"/>
        <v>1</v>
      </c>
      <c r="T31" s="651" t="str">
        <f t="shared" si="19"/>
        <v>No</v>
      </c>
      <c r="U31" s="669">
        <f t="shared" si="2"/>
        <v>0</v>
      </c>
      <c r="V31" s="668">
        <f t="shared" si="20"/>
        <v>0.87</v>
      </c>
      <c r="W31" s="651">
        <f t="shared" si="3"/>
        <v>0.23</v>
      </c>
      <c r="X31" s="651">
        <f t="shared" si="21"/>
        <v>0</v>
      </c>
      <c r="Y31" s="651">
        <f t="shared" si="22"/>
        <v>1</v>
      </c>
      <c r="Z31" s="651">
        <f t="shared" si="23"/>
        <v>1</v>
      </c>
      <c r="AA31" s="650" t="str">
        <f t="shared" si="24"/>
        <v>No</v>
      </c>
      <c r="AB31" s="669">
        <f t="shared" si="4"/>
        <v>0</v>
      </c>
      <c r="AC31" s="668">
        <f t="shared" si="25"/>
        <v>0.87977914903472698</v>
      </c>
      <c r="AD31" s="651">
        <f t="shared" si="5"/>
        <v>0.21</v>
      </c>
      <c r="AE31" s="651">
        <f t="shared" si="26"/>
        <v>0</v>
      </c>
      <c r="AF31" s="651">
        <f t="shared" si="27"/>
        <v>0</v>
      </c>
      <c r="AG31" s="651">
        <f t="shared" si="28"/>
        <v>0</v>
      </c>
      <c r="AH31" s="651" t="str">
        <f t="shared" si="29"/>
        <v>No</v>
      </c>
      <c r="AI31" s="669">
        <f t="shared" si="6"/>
        <v>0</v>
      </c>
      <c r="AJ31" s="674">
        <f t="shared" si="30"/>
        <v>0.91039999999999999</v>
      </c>
      <c r="AK31" s="654">
        <f t="shared" si="31"/>
        <v>0.16500000000000001</v>
      </c>
      <c r="AL31" s="654">
        <f t="shared" si="32"/>
        <v>0</v>
      </c>
      <c r="AM31" s="654">
        <f t="shared" si="33"/>
        <v>0</v>
      </c>
      <c r="AN31" s="654">
        <f t="shared" si="34"/>
        <v>0</v>
      </c>
      <c r="AO31" s="654" t="str">
        <f t="shared" si="35"/>
        <v>No</v>
      </c>
      <c r="AP31" s="655">
        <f t="shared" si="8"/>
        <v>0</v>
      </c>
    </row>
    <row r="32" spans="1:42" ht="15">
      <c r="A32" s="777" t="s">
        <v>154</v>
      </c>
      <c r="B32" s="643">
        <v>12</v>
      </c>
      <c r="C32" s="766">
        <v>81</v>
      </c>
      <c r="D32" s="659">
        <v>60</v>
      </c>
      <c r="E32" s="660">
        <v>0.88243569276218192</v>
      </c>
      <c r="F32" s="661">
        <v>0.26619999999999999</v>
      </c>
      <c r="G32" s="688">
        <v>3</v>
      </c>
      <c r="H32" s="668">
        <f t="shared" si="10"/>
        <v>0.85</v>
      </c>
      <c r="I32" s="651">
        <v>0.5</v>
      </c>
      <c r="J32" s="651">
        <f t="shared" si="11"/>
        <v>1</v>
      </c>
      <c r="K32" s="651">
        <f t="shared" si="12"/>
        <v>1</v>
      </c>
      <c r="L32" s="651">
        <f t="shared" si="13"/>
        <v>2</v>
      </c>
      <c r="M32" s="651" t="str">
        <f t="shared" si="14"/>
        <v>Yes</v>
      </c>
      <c r="N32" s="669">
        <f t="shared" si="0"/>
        <v>0</v>
      </c>
      <c r="O32" s="668">
        <f t="shared" si="15"/>
        <v>0.87</v>
      </c>
      <c r="P32" s="651">
        <f t="shared" si="1"/>
        <v>0.5</v>
      </c>
      <c r="Q32" s="651">
        <f t="shared" si="16"/>
        <v>1</v>
      </c>
      <c r="R32" s="651">
        <f t="shared" si="17"/>
        <v>1</v>
      </c>
      <c r="S32" s="651">
        <f t="shared" si="18"/>
        <v>2</v>
      </c>
      <c r="T32" s="651" t="str">
        <f t="shared" si="19"/>
        <v>Yes</v>
      </c>
      <c r="U32" s="669">
        <f t="shared" si="2"/>
        <v>1</v>
      </c>
      <c r="V32" s="668">
        <f t="shared" si="20"/>
        <v>0.87</v>
      </c>
      <c r="W32" s="651">
        <f t="shared" si="3"/>
        <v>0.23</v>
      </c>
      <c r="X32" s="651">
        <f t="shared" si="21"/>
        <v>1</v>
      </c>
      <c r="Y32" s="651">
        <f t="shared" si="22"/>
        <v>0</v>
      </c>
      <c r="Z32" s="651">
        <f t="shared" si="23"/>
        <v>1</v>
      </c>
      <c r="AA32" s="650" t="str">
        <f t="shared" si="24"/>
        <v>No</v>
      </c>
      <c r="AB32" s="669">
        <f t="shared" si="4"/>
        <v>0</v>
      </c>
      <c r="AC32" s="668">
        <f t="shared" si="25"/>
        <v>0.87977914903472698</v>
      </c>
      <c r="AD32" s="651">
        <f t="shared" si="5"/>
        <v>0.21</v>
      </c>
      <c r="AE32" s="651">
        <f t="shared" si="26"/>
        <v>1</v>
      </c>
      <c r="AF32" s="651">
        <f t="shared" si="27"/>
        <v>0</v>
      </c>
      <c r="AG32" s="651">
        <f t="shared" si="28"/>
        <v>1</v>
      </c>
      <c r="AH32" s="651" t="str">
        <f t="shared" si="29"/>
        <v>No</v>
      </c>
      <c r="AI32" s="669">
        <f t="shared" si="6"/>
        <v>0</v>
      </c>
      <c r="AJ32" s="674">
        <f t="shared" si="30"/>
        <v>0.91039999999999999</v>
      </c>
      <c r="AK32" s="654">
        <f t="shared" si="31"/>
        <v>0.16500000000000001</v>
      </c>
      <c r="AL32" s="654">
        <f t="shared" si="32"/>
        <v>0</v>
      </c>
      <c r="AM32" s="654">
        <f t="shared" si="33"/>
        <v>0</v>
      </c>
      <c r="AN32" s="654">
        <f t="shared" si="34"/>
        <v>0</v>
      </c>
      <c r="AO32" s="654" t="str">
        <f t="shared" si="35"/>
        <v>No</v>
      </c>
      <c r="AP32" s="655">
        <f t="shared" si="8"/>
        <v>0</v>
      </c>
    </row>
    <row r="33" spans="1:44" ht="15">
      <c r="A33" s="777" t="s">
        <v>154</v>
      </c>
      <c r="B33" s="643">
        <v>12</v>
      </c>
      <c r="C33" s="766">
        <v>82</v>
      </c>
      <c r="D33" s="659">
        <v>60.225000000000001</v>
      </c>
      <c r="E33" s="660">
        <v>0.86506159591299081</v>
      </c>
      <c r="F33" s="661">
        <v>0.15049999999999999</v>
      </c>
      <c r="G33" s="688">
        <v>3</v>
      </c>
      <c r="H33" s="668">
        <f t="shared" si="10"/>
        <v>0.85</v>
      </c>
      <c r="I33" s="651">
        <v>0.5</v>
      </c>
      <c r="J33" s="651">
        <f t="shared" si="11"/>
        <v>1</v>
      </c>
      <c r="K33" s="651">
        <f t="shared" si="12"/>
        <v>1</v>
      </c>
      <c r="L33" s="651">
        <f t="shared" si="13"/>
        <v>2</v>
      </c>
      <c r="M33" s="651" t="str">
        <f t="shared" si="14"/>
        <v>Yes</v>
      </c>
      <c r="N33" s="669">
        <f t="shared" si="0"/>
        <v>1</v>
      </c>
      <c r="O33" s="668">
        <f t="shared" si="15"/>
        <v>0.87</v>
      </c>
      <c r="P33" s="651">
        <f t="shared" si="1"/>
        <v>0.5</v>
      </c>
      <c r="Q33" s="651">
        <f t="shared" si="16"/>
        <v>0</v>
      </c>
      <c r="R33" s="651">
        <f t="shared" si="17"/>
        <v>1</v>
      </c>
      <c r="S33" s="651">
        <f t="shared" si="18"/>
        <v>1</v>
      </c>
      <c r="T33" s="651" t="str">
        <f t="shared" si="19"/>
        <v>No</v>
      </c>
      <c r="U33" s="669">
        <f t="shared" si="2"/>
        <v>0</v>
      </c>
      <c r="V33" s="668">
        <f t="shared" si="20"/>
        <v>0.87</v>
      </c>
      <c r="W33" s="651">
        <f t="shared" si="3"/>
        <v>0.23</v>
      </c>
      <c r="X33" s="651">
        <f t="shared" si="21"/>
        <v>0</v>
      </c>
      <c r="Y33" s="651">
        <f t="shared" si="22"/>
        <v>1</v>
      </c>
      <c r="Z33" s="651">
        <f t="shared" si="23"/>
        <v>1</v>
      </c>
      <c r="AA33" s="650" t="str">
        <f t="shared" si="24"/>
        <v>No</v>
      </c>
      <c r="AB33" s="669">
        <f t="shared" si="4"/>
        <v>0</v>
      </c>
      <c r="AC33" s="668">
        <f t="shared" si="25"/>
        <v>0.87977914903472698</v>
      </c>
      <c r="AD33" s="651">
        <f t="shared" si="5"/>
        <v>0.21</v>
      </c>
      <c r="AE33" s="651">
        <f t="shared" si="26"/>
        <v>0</v>
      </c>
      <c r="AF33" s="651">
        <f t="shared" si="27"/>
        <v>1</v>
      </c>
      <c r="AG33" s="651">
        <f t="shared" si="28"/>
        <v>1</v>
      </c>
      <c r="AH33" s="651" t="str">
        <f t="shared" si="29"/>
        <v>No</v>
      </c>
      <c r="AI33" s="669">
        <f t="shared" si="6"/>
        <v>0</v>
      </c>
      <c r="AJ33" s="674">
        <f t="shared" si="30"/>
        <v>0.91039999999999999</v>
      </c>
      <c r="AK33" s="654">
        <f t="shared" si="31"/>
        <v>0.16500000000000001</v>
      </c>
      <c r="AL33" s="654">
        <f t="shared" si="32"/>
        <v>0</v>
      </c>
      <c r="AM33" s="654">
        <f t="shared" si="33"/>
        <v>1</v>
      </c>
      <c r="AN33" s="654">
        <f t="shared" si="34"/>
        <v>1</v>
      </c>
      <c r="AO33" s="654" t="str">
        <f t="shared" si="35"/>
        <v>No</v>
      </c>
      <c r="AP33" s="655">
        <f t="shared" si="8"/>
        <v>0</v>
      </c>
    </row>
    <row r="34" spans="1:44" ht="15">
      <c r="A34" s="777" t="s">
        <v>154</v>
      </c>
      <c r="B34" s="643">
        <v>12</v>
      </c>
      <c r="C34" s="766">
        <v>83</v>
      </c>
      <c r="D34" s="659">
        <v>75</v>
      </c>
      <c r="E34" s="660">
        <v>0.87306864446911669</v>
      </c>
      <c r="F34" s="661">
        <v>0.34839999999999999</v>
      </c>
      <c r="G34" s="688">
        <v>3</v>
      </c>
      <c r="H34" s="668">
        <f t="shared" si="10"/>
        <v>0.85</v>
      </c>
      <c r="I34" s="651">
        <v>0.5</v>
      </c>
      <c r="J34" s="651">
        <f t="shared" si="11"/>
        <v>1</v>
      </c>
      <c r="K34" s="651">
        <f t="shared" si="12"/>
        <v>1</v>
      </c>
      <c r="L34" s="651">
        <f t="shared" si="13"/>
        <v>2</v>
      </c>
      <c r="M34" s="651" t="str">
        <f t="shared" si="14"/>
        <v>Yes</v>
      </c>
      <c r="N34" s="669">
        <f t="shared" si="0"/>
        <v>0</v>
      </c>
      <c r="O34" s="668">
        <f t="shared" si="15"/>
        <v>0.87</v>
      </c>
      <c r="P34" s="651">
        <f t="shared" si="1"/>
        <v>0.5</v>
      </c>
      <c r="Q34" s="651">
        <f t="shared" si="16"/>
        <v>1</v>
      </c>
      <c r="R34" s="651">
        <f t="shared" si="17"/>
        <v>1</v>
      </c>
      <c r="S34" s="651">
        <f t="shared" si="18"/>
        <v>2</v>
      </c>
      <c r="T34" s="651" t="str">
        <f t="shared" si="19"/>
        <v>Yes</v>
      </c>
      <c r="U34" s="669">
        <f t="shared" si="2"/>
        <v>1</v>
      </c>
      <c r="V34" s="668">
        <f t="shared" si="20"/>
        <v>0.87</v>
      </c>
      <c r="W34" s="651">
        <f t="shared" si="3"/>
        <v>0.23</v>
      </c>
      <c r="X34" s="651">
        <f t="shared" si="21"/>
        <v>1</v>
      </c>
      <c r="Y34" s="651">
        <f t="shared" si="22"/>
        <v>0</v>
      </c>
      <c r="Z34" s="651">
        <f t="shared" si="23"/>
        <v>1</v>
      </c>
      <c r="AA34" s="650" t="str">
        <f t="shared" si="24"/>
        <v>No</v>
      </c>
      <c r="AB34" s="669">
        <f t="shared" si="4"/>
        <v>0</v>
      </c>
      <c r="AC34" s="668">
        <f t="shared" si="25"/>
        <v>0.87977914903472698</v>
      </c>
      <c r="AD34" s="651">
        <f t="shared" si="5"/>
        <v>0.21</v>
      </c>
      <c r="AE34" s="651">
        <f t="shared" si="26"/>
        <v>0</v>
      </c>
      <c r="AF34" s="651">
        <f t="shared" si="27"/>
        <v>0</v>
      </c>
      <c r="AG34" s="651">
        <f t="shared" si="28"/>
        <v>0</v>
      </c>
      <c r="AH34" s="651" t="str">
        <f t="shared" si="29"/>
        <v>No</v>
      </c>
      <c r="AI34" s="669">
        <f t="shared" si="6"/>
        <v>0</v>
      </c>
      <c r="AJ34" s="674">
        <f t="shared" si="30"/>
        <v>0.91039999999999999</v>
      </c>
      <c r="AK34" s="654">
        <f t="shared" si="31"/>
        <v>0.16500000000000001</v>
      </c>
      <c r="AL34" s="654">
        <f t="shared" si="32"/>
        <v>0</v>
      </c>
      <c r="AM34" s="654">
        <f t="shared" si="33"/>
        <v>0</v>
      </c>
      <c r="AN34" s="654">
        <f t="shared" si="34"/>
        <v>0</v>
      </c>
      <c r="AO34" s="654" t="str">
        <f t="shared" si="35"/>
        <v>No</v>
      </c>
      <c r="AP34" s="655">
        <f t="shared" si="8"/>
        <v>0</v>
      </c>
    </row>
    <row r="35" spans="1:44" ht="15">
      <c r="A35" s="777" t="s">
        <v>154</v>
      </c>
      <c r="B35" s="643">
        <v>12</v>
      </c>
      <c r="C35" s="766">
        <v>84</v>
      </c>
      <c r="D35" s="659">
        <v>56</v>
      </c>
      <c r="E35" s="660">
        <v>0.83479687388849177</v>
      </c>
      <c r="F35" s="661">
        <v>1.2276</v>
      </c>
      <c r="G35" s="688">
        <v>3</v>
      </c>
      <c r="H35" s="668">
        <f t="shared" si="10"/>
        <v>0.85</v>
      </c>
      <c r="I35" s="651">
        <v>0.5</v>
      </c>
      <c r="J35" s="651">
        <f t="shared" si="11"/>
        <v>0</v>
      </c>
      <c r="K35" s="651">
        <f t="shared" si="12"/>
        <v>0</v>
      </c>
      <c r="L35" s="651">
        <f t="shared" si="13"/>
        <v>0</v>
      </c>
      <c r="M35" s="651" t="str">
        <f t="shared" si="14"/>
        <v>No</v>
      </c>
      <c r="N35" s="669">
        <f t="shared" si="0"/>
        <v>0</v>
      </c>
      <c r="O35" s="668">
        <f t="shared" si="15"/>
        <v>0.87</v>
      </c>
      <c r="P35" s="651">
        <f t="shared" si="1"/>
        <v>0.5</v>
      </c>
      <c r="Q35" s="651">
        <f t="shared" si="16"/>
        <v>0</v>
      </c>
      <c r="R35" s="651">
        <f t="shared" si="17"/>
        <v>0</v>
      </c>
      <c r="S35" s="651">
        <f t="shared" si="18"/>
        <v>0</v>
      </c>
      <c r="T35" s="651" t="str">
        <f t="shared" si="19"/>
        <v>No</v>
      </c>
      <c r="U35" s="669">
        <f t="shared" si="2"/>
        <v>0</v>
      </c>
      <c r="V35" s="668">
        <f t="shared" si="20"/>
        <v>0.87</v>
      </c>
      <c r="W35" s="651">
        <f t="shared" si="3"/>
        <v>0.23</v>
      </c>
      <c r="X35" s="651">
        <f t="shared" si="21"/>
        <v>0</v>
      </c>
      <c r="Y35" s="651">
        <f t="shared" si="22"/>
        <v>0</v>
      </c>
      <c r="Z35" s="651">
        <f t="shared" si="23"/>
        <v>0</v>
      </c>
      <c r="AA35" s="650" t="str">
        <f t="shared" si="24"/>
        <v>No</v>
      </c>
      <c r="AB35" s="669">
        <f t="shared" si="4"/>
        <v>0</v>
      </c>
      <c r="AC35" s="668">
        <f t="shared" si="25"/>
        <v>0.87977914903472698</v>
      </c>
      <c r="AD35" s="651">
        <f t="shared" si="5"/>
        <v>0.21</v>
      </c>
      <c r="AE35" s="651">
        <f t="shared" si="26"/>
        <v>0</v>
      </c>
      <c r="AF35" s="651">
        <f t="shared" si="27"/>
        <v>0</v>
      </c>
      <c r="AG35" s="651">
        <f t="shared" si="28"/>
        <v>0</v>
      </c>
      <c r="AH35" s="651" t="str">
        <f t="shared" si="29"/>
        <v>No</v>
      </c>
      <c r="AI35" s="669">
        <f t="shared" si="6"/>
        <v>0</v>
      </c>
      <c r="AJ35" s="674">
        <f t="shared" si="30"/>
        <v>0.91039999999999999</v>
      </c>
      <c r="AK35" s="654">
        <f t="shared" si="31"/>
        <v>0.16500000000000001</v>
      </c>
      <c r="AL35" s="654">
        <f t="shared" si="32"/>
        <v>0</v>
      </c>
      <c r="AM35" s="654">
        <f t="shared" si="33"/>
        <v>0</v>
      </c>
      <c r="AN35" s="654">
        <f t="shared" si="34"/>
        <v>0</v>
      </c>
      <c r="AO35" s="654" t="str">
        <f t="shared" si="35"/>
        <v>No</v>
      </c>
      <c r="AP35" s="655">
        <f t="shared" si="8"/>
        <v>0</v>
      </c>
    </row>
    <row r="36" spans="1:44" ht="15">
      <c r="A36" s="777" t="s">
        <v>154</v>
      </c>
      <c r="B36" s="643">
        <v>12</v>
      </c>
      <c r="C36" s="766">
        <v>85</v>
      </c>
      <c r="D36" s="659">
        <v>60</v>
      </c>
      <c r="E36" s="660">
        <v>0.86249547669297888</v>
      </c>
      <c r="F36" s="661">
        <v>0.28999999999999998</v>
      </c>
      <c r="G36" s="688">
        <v>3</v>
      </c>
      <c r="H36" s="668">
        <f t="shared" si="10"/>
        <v>0.85</v>
      </c>
      <c r="I36" s="651">
        <v>0.5</v>
      </c>
      <c r="J36" s="651">
        <f t="shared" si="11"/>
        <v>1</v>
      </c>
      <c r="K36" s="651">
        <f t="shared" si="12"/>
        <v>1</v>
      </c>
      <c r="L36" s="651">
        <f t="shared" si="13"/>
        <v>2</v>
      </c>
      <c r="M36" s="651" t="str">
        <f t="shared" si="14"/>
        <v>Yes</v>
      </c>
      <c r="N36" s="669">
        <f t="shared" si="0"/>
        <v>1</v>
      </c>
      <c r="O36" s="668">
        <f t="shared" si="15"/>
        <v>0.87</v>
      </c>
      <c r="P36" s="651">
        <f t="shared" si="1"/>
        <v>0.5</v>
      </c>
      <c r="Q36" s="651">
        <f t="shared" si="16"/>
        <v>0</v>
      </c>
      <c r="R36" s="651">
        <f t="shared" si="17"/>
        <v>1</v>
      </c>
      <c r="S36" s="651">
        <f t="shared" si="18"/>
        <v>1</v>
      </c>
      <c r="T36" s="651" t="str">
        <f t="shared" si="19"/>
        <v>No</v>
      </c>
      <c r="U36" s="669">
        <f t="shared" si="2"/>
        <v>0</v>
      </c>
      <c r="V36" s="668">
        <f t="shared" si="20"/>
        <v>0.87</v>
      </c>
      <c r="W36" s="651">
        <f t="shared" si="3"/>
        <v>0.23</v>
      </c>
      <c r="X36" s="651">
        <f t="shared" si="21"/>
        <v>0</v>
      </c>
      <c r="Y36" s="651">
        <f t="shared" si="22"/>
        <v>0</v>
      </c>
      <c r="Z36" s="651">
        <f t="shared" si="23"/>
        <v>0</v>
      </c>
      <c r="AA36" s="650" t="str">
        <f t="shared" si="24"/>
        <v>No</v>
      </c>
      <c r="AB36" s="669">
        <f t="shared" si="4"/>
        <v>0</v>
      </c>
      <c r="AC36" s="668">
        <f t="shared" si="25"/>
        <v>0.87977914903472698</v>
      </c>
      <c r="AD36" s="651">
        <f t="shared" si="5"/>
        <v>0.21</v>
      </c>
      <c r="AE36" s="651">
        <f t="shared" si="26"/>
        <v>0</v>
      </c>
      <c r="AF36" s="651">
        <f t="shared" si="27"/>
        <v>0</v>
      </c>
      <c r="AG36" s="651">
        <f t="shared" si="28"/>
        <v>0</v>
      </c>
      <c r="AH36" s="651" t="str">
        <f t="shared" si="29"/>
        <v>No</v>
      </c>
      <c r="AI36" s="669">
        <f t="shared" si="6"/>
        <v>0</v>
      </c>
      <c r="AJ36" s="674">
        <f t="shared" si="30"/>
        <v>0.91039999999999999</v>
      </c>
      <c r="AK36" s="654">
        <f t="shared" si="31"/>
        <v>0.16500000000000001</v>
      </c>
      <c r="AL36" s="654">
        <f t="shared" si="32"/>
        <v>0</v>
      </c>
      <c r="AM36" s="654">
        <f t="shared" si="33"/>
        <v>0</v>
      </c>
      <c r="AN36" s="654">
        <f t="shared" si="34"/>
        <v>0</v>
      </c>
      <c r="AO36" s="654" t="str">
        <f t="shared" si="35"/>
        <v>No</v>
      </c>
      <c r="AP36" s="655">
        <f t="shared" si="8"/>
        <v>0</v>
      </c>
    </row>
    <row r="37" spans="1:44" ht="15">
      <c r="A37" s="777" t="s">
        <v>154</v>
      </c>
      <c r="B37" s="643">
        <v>12</v>
      </c>
      <c r="C37" s="766">
        <v>86</v>
      </c>
      <c r="D37" s="659">
        <v>60</v>
      </c>
      <c r="E37" s="660">
        <v>0.86138732982122124</v>
      </c>
      <c r="F37" s="661">
        <v>0.27600000000000002</v>
      </c>
      <c r="G37" s="688">
        <v>3</v>
      </c>
      <c r="H37" s="668">
        <f t="shared" si="10"/>
        <v>0.85</v>
      </c>
      <c r="I37" s="651">
        <v>0.5</v>
      </c>
      <c r="J37" s="651">
        <f t="shared" si="11"/>
        <v>1</v>
      </c>
      <c r="K37" s="651">
        <f t="shared" si="12"/>
        <v>1</v>
      </c>
      <c r="L37" s="651">
        <f t="shared" si="13"/>
        <v>2</v>
      </c>
      <c r="M37" s="651" t="str">
        <f t="shared" si="14"/>
        <v>Yes</v>
      </c>
      <c r="N37" s="669">
        <f t="shared" si="0"/>
        <v>1</v>
      </c>
      <c r="O37" s="668">
        <f t="shared" si="15"/>
        <v>0.87</v>
      </c>
      <c r="P37" s="651">
        <f t="shared" si="1"/>
        <v>0.5</v>
      </c>
      <c r="Q37" s="651">
        <f t="shared" si="16"/>
        <v>0</v>
      </c>
      <c r="R37" s="651">
        <f t="shared" si="17"/>
        <v>1</v>
      </c>
      <c r="S37" s="651">
        <f t="shared" si="18"/>
        <v>1</v>
      </c>
      <c r="T37" s="651" t="str">
        <f t="shared" si="19"/>
        <v>No</v>
      </c>
      <c r="U37" s="669">
        <f t="shared" si="2"/>
        <v>0</v>
      </c>
      <c r="V37" s="668">
        <f t="shared" si="20"/>
        <v>0.87</v>
      </c>
      <c r="W37" s="651">
        <f t="shared" si="3"/>
        <v>0.23</v>
      </c>
      <c r="X37" s="651">
        <f t="shared" si="21"/>
        <v>0</v>
      </c>
      <c r="Y37" s="651">
        <f t="shared" si="22"/>
        <v>0</v>
      </c>
      <c r="Z37" s="651">
        <f t="shared" si="23"/>
        <v>0</v>
      </c>
      <c r="AA37" s="650" t="str">
        <f t="shared" si="24"/>
        <v>No</v>
      </c>
      <c r="AB37" s="669">
        <f t="shared" si="4"/>
        <v>0</v>
      </c>
      <c r="AC37" s="668">
        <f t="shared" si="25"/>
        <v>0.87977914903472698</v>
      </c>
      <c r="AD37" s="651">
        <f t="shared" si="5"/>
        <v>0.21</v>
      </c>
      <c r="AE37" s="651">
        <f t="shared" si="26"/>
        <v>0</v>
      </c>
      <c r="AF37" s="651">
        <f t="shared" si="27"/>
        <v>0</v>
      </c>
      <c r="AG37" s="651">
        <f t="shared" si="28"/>
        <v>0</v>
      </c>
      <c r="AH37" s="651" t="str">
        <f t="shared" si="29"/>
        <v>No</v>
      </c>
      <c r="AI37" s="669">
        <f t="shared" si="6"/>
        <v>0</v>
      </c>
      <c r="AJ37" s="674">
        <f t="shared" si="30"/>
        <v>0.91039999999999999</v>
      </c>
      <c r="AK37" s="654">
        <f t="shared" si="31"/>
        <v>0.16500000000000001</v>
      </c>
      <c r="AL37" s="654">
        <f t="shared" si="32"/>
        <v>0</v>
      </c>
      <c r="AM37" s="654">
        <f t="shared" si="33"/>
        <v>0</v>
      </c>
      <c r="AN37" s="654">
        <f t="shared" si="34"/>
        <v>0</v>
      </c>
      <c r="AO37" s="654" t="str">
        <f t="shared" si="35"/>
        <v>No</v>
      </c>
      <c r="AP37" s="655">
        <f t="shared" si="8"/>
        <v>0</v>
      </c>
    </row>
    <row r="38" spans="1:44" ht="15">
      <c r="A38" s="777" t="s">
        <v>154</v>
      </c>
      <c r="B38" s="643">
        <v>12</v>
      </c>
      <c r="C38" s="766">
        <v>114</v>
      </c>
      <c r="D38" s="659">
        <v>134.9</v>
      </c>
      <c r="E38" s="660">
        <v>0.88457003884962693</v>
      </c>
      <c r="F38" s="661">
        <v>0.38</v>
      </c>
      <c r="G38" s="688">
        <v>4</v>
      </c>
      <c r="H38" s="668">
        <f t="shared" si="10"/>
        <v>0.85</v>
      </c>
      <c r="I38" s="651">
        <v>0.5</v>
      </c>
      <c r="J38" s="651">
        <f t="shared" si="11"/>
        <v>1</v>
      </c>
      <c r="K38" s="651">
        <f t="shared" si="12"/>
        <v>1</v>
      </c>
      <c r="L38" s="651">
        <f t="shared" si="13"/>
        <v>2</v>
      </c>
      <c r="M38" s="651" t="str">
        <f t="shared" si="14"/>
        <v>Yes</v>
      </c>
      <c r="N38" s="669">
        <f t="shared" si="0"/>
        <v>0</v>
      </c>
      <c r="O38" s="668">
        <f t="shared" si="15"/>
        <v>0.87</v>
      </c>
      <c r="P38" s="651">
        <f t="shared" si="1"/>
        <v>0.5</v>
      </c>
      <c r="Q38" s="651">
        <f t="shared" si="16"/>
        <v>1</v>
      </c>
      <c r="R38" s="651">
        <f t="shared" si="17"/>
        <v>1</v>
      </c>
      <c r="S38" s="651">
        <f t="shared" si="18"/>
        <v>2</v>
      </c>
      <c r="T38" s="651" t="str">
        <f t="shared" si="19"/>
        <v>Yes</v>
      </c>
      <c r="U38" s="669">
        <f t="shared" si="2"/>
        <v>1</v>
      </c>
      <c r="V38" s="668">
        <f t="shared" si="20"/>
        <v>0.87</v>
      </c>
      <c r="W38" s="651">
        <f t="shared" si="3"/>
        <v>0.23</v>
      </c>
      <c r="X38" s="651">
        <f t="shared" si="21"/>
        <v>1</v>
      </c>
      <c r="Y38" s="651">
        <f t="shared" si="22"/>
        <v>0</v>
      </c>
      <c r="Z38" s="651">
        <f t="shared" si="23"/>
        <v>1</v>
      </c>
      <c r="AA38" s="650" t="str">
        <f t="shared" si="24"/>
        <v>No</v>
      </c>
      <c r="AB38" s="669">
        <f t="shared" si="4"/>
        <v>0</v>
      </c>
      <c r="AC38" s="668">
        <f t="shared" si="25"/>
        <v>0.87977914903472698</v>
      </c>
      <c r="AD38" s="651">
        <f t="shared" si="5"/>
        <v>0.21</v>
      </c>
      <c r="AE38" s="651">
        <f t="shared" si="26"/>
        <v>1</v>
      </c>
      <c r="AF38" s="651">
        <f t="shared" si="27"/>
        <v>0</v>
      </c>
      <c r="AG38" s="651">
        <f t="shared" si="28"/>
        <v>1</v>
      </c>
      <c r="AH38" s="651" t="str">
        <f t="shared" si="29"/>
        <v>No</v>
      </c>
      <c r="AI38" s="669">
        <f t="shared" si="6"/>
        <v>0</v>
      </c>
      <c r="AJ38" s="674">
        <f t="shared" si="30"/>
        <v>0.91039999999999999</v>
      </c>
      <c r="AK38" s="654">
        <f t="shared" si="31"/>
        <v>0.16500000000000001</v>
      </c>
      <c r="AL38" s="654">
        <f t="shared" si="32"/>
        <v>0</v>
      </c>
      <c r="AM38" s="654">
        <f t="shared" si="33"/>
        <v>0</v>
      </c>
      <c r="AN38" s="654">
        <f t="shared" si="34"/>
        <v>0</v>
      </c>
      <c r="AO38" s="654" t="str">
        <f t="shared" si="35"/>
        <v>No</v>
      </c>
      <c r="AP38" s="655">
        <f t="shared" si="8"/>
        <v>0</v>
      </c>
    </row>
    <row r="39" spans="1:44" ht="15">
      <c r="A39" s="777" t="s">
        <v>154</v>
      </c>
      <c r="B39" s="643">
        <v>12</v>
      </c>
      <c r="C39" s="766">
        <v>115</v>
      </c>
      <c r="D39" s="659">
        <v>134.9</v>
      </c>
      <c r="E39" s="660">
        <v>0.88568379148303866</v>
      </c>
      <c r="F39" s="661">
        <v>0.41</v>
      </c>
      <c r="G39" s="688">
        <v>4</v>
      </c>
      <c r="H39" s="668">
        <f t="shared" si="10"/>
        <v>0.85</v>
      </c>
      <c r="I39" s="651">
        <v>0.5</v>
      </c>
      <c r="J39" s="651">
        <f t="shared" si="11"/>
        <v>1</v>
      </c>
      <c r="K39" s="651">
        <f t="shared" si="12"/>
        <v>1</v>
      </c>
      <c r="L39" s="651">
        <f t="shared" si="13"/>
        <v>2</v>
      </c>
      <c r="M39" s="651" t="str">
        <f t="shared" si="14"/>
        <v>Yes</v>
      </c>
      <c r="N39" s="669">
        <f t="shared" si="0"/>
        <v>0</v>
      </c>
      <c r="O39" s="668">
        <f t="shared" si="15"/>
        <v>0.87</v>
      </c>
      <c r="P39" s="651">
        <f t="shared" si="1"/>
        <v>0.5</v>
      </c>
      <c r="Q39" s="651">
        <f t="shared" si="16"/>
        <v>1</v>
      </c>
      <c r="R39" s="651">
        <f t="shared" si="17"/>
        <v>1</v>
      </c>
      <c r="S39" s="651">
        <f t="shared" si="18"/>
        <v>2</v>
      </c>
      <c r="T39" s="651" t="str">
        <f t="shared" si="19"/>
        <v>Yes</v>
      </c>
      <c r="U39" s="669">
        <f t="shared" si="2"/>
        <v>1</v>
      </c>
      <c r="V39" s="668">
        <f t="shared" si="20"/>
        <v>0.87</v>
      </c>
      <c r="W39" s="651">
        <f t="shared" si="3"/>
        <v>0.23</v>
      </c>
      <c r="X39" s="651">
        <f t="shared" si="21"/>
        <v>1</v>
      </c>
      <c r="Y39" s="651">
        <f t="shared" si="22"/>
        <v>0</v>
      </c>
      <c r="Z39" s="651">
        <f t="shared" si="23"/>
        <v>1</v>
      </c>
      <c r="AA39" s="650" t="str">
        <f t="shared" si="24"/>
        <v>No</v>
      </c>
      <c r="AB39" s="669">
        <f t="shared" si="4"/>
        <v>0</v>
      </c>
      <c r="AC39" s="668">
        <f t="shared" si="25"/>
        <v>0.87977914903472698</v>
      </c>
      <c r="AD39" s="651">
        <f t="shared" si="5"/>
        <v>0.21</v>
      </c>
      <c r="AE39" s="651">
        <f t="shared" si="26"/>
        <v>1</v>
      </c>
      <c r="AF39" s="651">
        <f t="shared" si="27"/>
        <v>0</v>
      </c>
      <c r="AG39" s="651">
        <f t="shared" si="28"/>
        <v>1</v>
      </c>
      <c r="AH39" s="651" t="str">
        <f t="shared" si="29"/>
        <v>No</v>
      </c>
      <c r="AI39" s="669">
        <f t="shared" si="6"/>
        <v>0</v>
      </c>
      <c r="AJ39" s="674">
        <f t="shared" si="30"/>
        <v>0.91039999999999999</v>
      </c>
      <c r="AK39" s="654">
        <f t="shared" si="31"/>
        <v>0.16500000000000001</v>
      </c>
      <c r="AL39" s="654">
        <f t="shared" si="32"/>
        <v>0</v>
      </c>
      <c r="AM39" s="654">
        <f t="shared" si="33"/>
        <v>0</v>
      </c>
      <c r="AN39" s="654">
        <f t="shared" si="34"/>
        <v>0</v>
      </c>
      <c r="AO39" s="654" t="str">
        <f t="shared" si="35"/>
        <v>No</v>
      </c>
      <c r="AP39" s="655">
        <f t="shared" si="8"/>
        <v>0</v>
      </c>
    </row>
    <row r="40" spans="1:44" ht="15">
      <c r="A40" s="778" t="s">
        <v>154</v>
      </c>
      <c r="B40" s="644">
        <v>12</v>
      </c>
      <c r="C40" s="767">
        <v>116</v>
      </c>
      <c r="D40" s="665">
        <v>134.9</v>
      </c>
      <c r="E40" s="687">
        <v>0.88504684779999154</v>
      </c>
      <c r="F40" s="667">
        <v>0.4</v>
      </c>
      <c r="G40" s="720">
        <v>4</v>
      </c>
      <c r="H40" s="672">
        <f t="shared" si="10"/>
        <v>0.85</v>
      </c>
      <c r="I40" s="653">
        <v>0.5</v>
      </c>
      <c r="J40" s="653">
        <f t="shared" si="11"/>
        <v>1</v>
      </c>
      <c r="K40" s="653">
        <f t="shared" si="12"/>
        <v>1</v>
      </c>
      <c r="L40" s="653">
        <f t="shared" si="13"/>
        <v>2</v>
      </c>
      <c r="M40" s="653" t="str">
        <f t="shared" si="14"/>
        <v>Yes</v>
      </c>
      <c r="N40" s="673">
        <f t="shared" si="0"/>
        <v>0</v>
      </c>
      <c r="O40" s="672">
        <f t="shared" si="15"/>
        <v>0.87</v>
      </c>
      <c r="P40" s="653">
        <f t="shared" si="1"/>
        <v>0.5</v>
      </c>
      <c r="Q40" s="653">
        <f t="shared" si="16"/>
        <v>1</v>
      </c>
      <c r="R40" s="653">
        <f t="shared" si="17"/>
        <v>1</v>
      </c>
      <c r="S40" s="653">
        <f t="shared" si="18"/>
        <v>2</v>
      </c>
      <c r="T40" s="653" t="str">
        <f t="shared" si="19"/>
        <v>Yes</v>
      </c>
      <c r="U40" s="673">
        <f t="shared" si="2"/>
        <v>1</v>
      </c>
      <c r="V40" s="672">
        <f t="shared" si="20"/>
        <v>0.87</v>
      </c>
      <c r="W40" s="653">
        <f t="shared" si="3"/>
        <v>0.23</v>
      </c>
      <c r="X40" s="653">
        <f t="shared" si="21"/>
        <v>1</v>
      </c>
      <c r="Y40" s="653">
        <f t="shared" si="22"/>
        <v>0</v>
      </c>
      <c r="Z40" s="653">
        <f t="shared" si="23"/>
        <v>1</v>
      </c>
      <c r="AA40" s="652" t="str">
        <f t="shared" si="24"/>
        <v>No</v>
      </c>
      <c r="AB40" s="673">
        <f t="shared" si="4"/>
        <v>0</v>
      </c>
      <c r="AC40" s="672">
        <f t="shared" si="25"/>
        <v>0.87977914903472698</v>
      </c>
      <c r="AD40" s="653">
        <f t="shared" si="5"/>
        <v>0.21</v>
      </c>
      <c r="AE40" s="653">
        <f t="shared" si="26"/>
        <v>1</v>
      </c>
      <c r="AF40" s="653">
        <f t="shared" si="27"/>
        <v>0</v>
      </c>
      <c r="AG40" s="653">
        <f t="shared" si="28"/>
        <v>1</v>
      </c>
      <c r="AH40" s="653" t="str">
        <f t="shared" si="29"/>
        <v>No</v>
      </c>
      <c r="AI40" s="673">
        <f t="shared" si="6"/>
        <v>0</v>
      </c>
      <c r="AJ40" s="677">
        <f t="shared" si="30"/>
        <v>0.91039999999999999</v>
      </c>
      <c r="AK40" s="657">
        <f t="shared" si="31"/>
        <v>0.16500000000000001</v>
      </c>
      <c r="AL40" s="657">
        <f t="shared" si="32"/>
        <v>0</v>
      </c>
      <c r="AM40" s="657">
        <f t="shared" si="33"/>
        <v>0</v>
      </c>
      <c r="AN40" s="657">
        <f t="shared" si="34"/>
        <v>0</v>
      </c>
      <c r="AO40" s="657" t="str">
        <f t="shared" si="35"/>
        <v>No</v>
      </c>
      <c r="AP40" s="658">
        <f t="shared" si="8"/>
        <v>0</v>
      </c>
    </row>
    <row r="41" spans="1:44" ht="15">
      <c r="A41" s="777" t="s">
        <v>146</v>
      </c>
      <c r="B41" s="643">
        <v>14</v>
      </c>
      <c r="C41" s="766">
        <v>35</v>
      </c>
      <c r="D41" s="659">
        <v>21.6</v>
      </c>
      <c r="E41" s="660">
        <v>0.65701369192200276</v>
      </c>
      <c r="F41" s="661">
        <v>0.126</v>
      </c>
      <c r="G41" s="688">
        <v>2</v>
      </c>
      <c r="H41" s="668">
        <f t="shared" ref="H41:H46" si="36">IF($D41&lt;=1,0.5*$D41,IF($D41&lt;=51,0.09*LN($D41)+0.5,0.85))</f>
        <v>0.77654239832211069</v>
      </c>
      <c r="I41" s="651">
        <v>0.5</v>
      </c>
      <c r="J41" s="651">
        <f t="shared" ref="J41:J46" si="37">IF($E41&gt;H41,1,0)</f>
        <v>0</v>
      </c>
      <c r="K41" s="651">
        <f t="shared" ref="K41:K46" si="38">IF(I41&gt;$F41,1,0)</f>
        <v>1</v>
      </c>
      <c r="L41" s="651">
        <f t="shared" ref="L41:L46" si="39">SUM(J41:K41)</f>
        <v>1</v>
      </c>
      <c r="M41" s="651" t="str">
        <f t="shared" ref="M41:M46" si="40">IF(L41=2,"Yes","No")</f>
        <v>No</v>
      </c>
      <c r="N41" s="670">
        <f t="shared" si="0"/>
        <v>0</v>
      </c>
      <c r="O41" s="668">
        <f t="shared" ref="O41:O46" si="41">IF($D41&lt;=1,0.48*$D41+0.14,IF($D41&lt;=49,0.0626*LN($D41)+0.622,0.87))</f>
        <v>0.81435060149960148</v>
      </c>
      <c r="P41" s="651">
        <f t="shared" si="1"/>
        <v>0.3</v>
      </c>
      <c r="Q41" s="651">
        <f t="shared" ref="Q41:Q46" si="42">IF($E41&gt;O41,1,0)</f>
        <v>0</v>
      </c>
      <c r="R41" s="651">
        <f t="shared" ref="R41:R46" si="43">IF(P41&gt;$F41,1,0)</f>
        <v>1</v>
      </c>
      <c r="S41" s="651">
        <f t="shared" ref="S41:S46" si="44">SUM(Q41:R41)</f>
        <v>1</v>
      </c>
      <c r="T41" s="651" t="str">
        <f t="shared" ref="T41:T46" si="45">IF(S41=2,"Yes","No")</f>
        <v>No</v>
      </c>
      <c r="U41" s="669">
        <f t="shared" si="2"/>
        <v>0</v>
      </c>
      <c r="V41" s="668">
        <f t="shared" ref="V41:V46" si="46">IF($D41&lt;=1,0.49*$D41+0.15,IF($D41&lt;=49,0.0701*LN($D41)-0.0011*$D41+0.647,0.87))</f>
        <v>0.83863580135977733</v>
      </c>
      <c r="W41" s="651">
        <f t="shared" si="3"/>
        <v>0.2</v>
      </c>
      <c r="X41" s="651">
        <f t="shared" ref="X41:X46" si="47">IF($E41&gt;V41,1,0)</f>
        <v>0</v>
      </c>
      <c r="Y41" s="651">
        <f t="shared" ref="Y41:Y46" si="48">IF(W41&gt;$F41,1,0)</f>
        <v>1</v>
      </c>
      <c r="Z41" s="651">
        <f t="shared" ref="Z41:Z46" si="49">SUM(X41:Y41)</f>
        <v>1</v>
      </c>
      <c r="AA41" s="650" t="str">
        <f t="shared" ref="AA41:AA46" si="50">IF(Z41=2,"Yes","No")</f>
        <v>No</v>
      </c>
      <c r="AB41" s="669">
        <f t="shared" si="4"/>
        <v>0</v>
      </c>
      <c r="AC41" s="668">
        <f t="shared" ref="AC41:AC46" si="51">IF($D41&lt;=1,0.5*$D41+0.16,IF($D41&lt;=49,0.071*LN($D41)-0.0014*$D41+0.67,0.879779149034727))</f>
        <v>0.85792122534299842</v>
      </c>
      <c r="AD41" s="651">
        <f t="shared" si="5"/>
        <v>0.1</v>
      </c>
      <c r="AE41" s="651">
        <f t="shared" ref="AE41:AE46" si="52">IF($E41&gt;AC41,1,0)</f>
        <v>0</v>
      </c>
      <c r="AF41" s="651">
        <f t="shared" ref="AF41:AF46" si="53">IF(AD41&gt;$F41,1,0)</f>
        <v>0</v>
      </c>
      <c r="AG41" s="651">
        <f t="shared" ref="AG41:AG46" si="54">SUM(AE41:AF41)</f>
        <v>0</v>
      </c>
      <c r="AH41" s="651" t="str">
        <f t="shared" ref="AH41:AH46" si="55">IF(AG41=2,"Yes","No")</f>
        <v>No</v>
      </c>
      <c r="AI41" s="669">
        <f t="shared" si="6"/>
        <v>0</v>
      </c>
      <c r="AJ41" s="675">
        <f t="shared" ref="AJ41:AJ46" si="56">IF($D41&lt;=1,0.52*$D41+0.17,IF($D41&lt;=49,0.079*LN($D41)-0.0014*$D41+0.67,0.9104))</f>
        <v>0.8825027718605194</v>
      </c>
      <c r="AK41" s="654">
        <f t="shared" si="31"/>
        <v>6.1666666666666703E-2</v>
      </c>
      <c r="AL41" s="656">
        <f t="shared" ref="AL41:AL46" si="57">IF($E41&gt;AJ41,1,0)</f>
        <v>0</v>
      </c>
      <c r="AM41" s="656">
        <f t="shared" ref="AM41:AM46" si="58">IF(AK41&gt;$F41,1,0)</f>
        <v>0</v>
      </c>
      <c r="AN41" s="656">
        <f t="shared" ref="AN41:AN46" si="59">SUM(AL41:AM41)</f>
        <v>0</v>
      </c>
      <c r="AO41" s="656" t="str">
        <f t="shared" ref="AO41:AO46" si="60">IF(AN41=2,"Yes","No")</f>
        <v>No</v>
      </c>
      <c r="AP41" s="676">
        <f t="shared" si="8"/>
        <v>0</v>
      </c>
    </row>
    <row r="42" spans="1:44" ht="15">
      <c r="A42" s="778" t="s">
        <v>146</v>
      </c>
      <c r="B42" s="644">
        <v>14</v>
      </c>
      <c r="C42" s="767">
        <v>108</v>
      </c>
      <c r="D42" s="665">
        <v>18</v>
      </c>
      <c r="E42" s="687">
        <v>0.81006553346090338</v>
      </c>
      <c r="F42" s="667">
        <v>0.1336</v>
      </c>
      <c r="G42" s="720">
        <v>2</v>
      </c>
      <c r="H42" s="672">
        <f t="shared" si="36"/>
        <v>0.76013345821065481</v>
      </c>
      <c r="I42" s="653">
        <v>0.5</v>
      </c>
      <c r="J42" s="653">
        <f t="shared" si="37"/>
        <v>1</v>
      </c>
      <c r="K42" s="653">
        <f t="shared" si="38"/>
        <v>1</v>
      </c>
      <c r="L42" s="653">
        <f t="shared" si="39"/>
        <v>2</v>
      </c>
      <c r="M42" s="653" t="str">
        <f t="shared" si="40"/>
        <v>Yes</v>
      </c>
      <c r="N42" s="673">
        <f t="shared" si="0"/>
        <v>0</v>
      </c>
      <c r="O42" s="672">
        <f t="shared" si="41"/>
        <v>0.80293727204429988</v>
      </c>
      <c r="P42" s="653">
        <f t="shared" si="1"/>
        <v>0.3</v>
      </c>
      <c r="Q42" s="653">
        <f t="shared" si="42"/>
        <v>1</v>
      </c>
      <c r="R42" s="653">
        <f t="shared" si="43"/>
        <v>1</v>
      </c>
      <c r="S42" s="653">
        <f t="shared" si="44"/>
        <v>2</v>
      </c>
      <c r="T42" s="653" t="str">
        <f t="shared" si="45"/>
        <v>Yes</v>
      </c>
      <c r="U42" s="673">
        <f t="shared" si="2"/>
        <v>1</v>
      </c>
      <c r="V42" s="672">
        <f t="shared" si="46"/>
        <v>0.82981506022852114</v>
      </c>
      <c r="W42" s="653">
        <f t="shared" si="3"/>
        <v>0.2</v>
      </c>
      <c r="X42" s="653">
        <f t="shared" si="47"/>
        <v>0</v>
      </c>
      <c r="Y42" s="653">
        <f t="shared" si="48"/>
        <v>1</v>
      </c>
      <c r="Z42" s="653">
        <f t="shared" si="49"/>
        <v>1</v>
      </c>
      <c r="AA42" s="652" t="str">
        <f t="shared" si="50"/>
        <v>No</v>
      </c>
      <c r="AB42" s="673">
        <f t="shared" si="4"/>
        <v>0</v>
      </c>
      <c r="AC42" s="672">
        <f t="shared" si="51"/>
        <v>0.85001639481062774</v>
      </c>
      <c r="AD42" s="653">
        <f t="shared" si="5"/>
        <v>0.1</v>
      </c>
      <c r="AE42" s="653">
        <f t="shared" si="52"/>
        <v>0</v>
      </c>
      <c r="AF42" s="653">
        <f t="shared" si="53"/>
        <v>0</v>
      </c>
      <c r="AG42" s="653">
        <f t="shared" si="54"/>
        <v>0</v>
      </c>
      <c r="AH42" s="653" t="str">
        <f t="shared" si="55"/>
        <v>No</v>
      </c>
      <c r="AI42" s="673">
        <f t="shared" si="6"/>
        <v>0</v>
      </c>
      <c r="AJ42" s="677">
        <f t="shared" si="56"/>
        <v>0.87313936887379706</v>
      </c>
      <c r="AK42" s="657">
        <f t="shared" si="31"/>
        <v>6.1666666666666703E-2</v>
      </c>
      <c r="AL42" s="657">
        <f t="shared" si="57"/>
        <v>0</v>
      </c>
      <c r="AM42" s="657">
        <f t="shared" si="58"/>
        <v>0</v>
      </c>
      <c r="AN42" s="657">
        <f t="shared" si="59"/>
        <v>0</v>
      </c>
      <c r="AO42" s="657" t="str">
        <f t="shared" si="60"/>
        <v>No</v>
      </c>
      <c r="AP42" s="658">
        <f t="shared" si="8"/>
        <v>0</v>
      </c>
      <c r="AR42" t="s">
        <v>327</v>
      </c>
    </row>
    <row r="43" spans="1:44" ht="15">
      <c r="A43" s="777" t="s">
        <v>145</v>
      </c>
      <c r="B43" s="643">
        <v>15</v>
      </c>
      <c r="C43" s="766">
        <v>6</v>
      </c>
      <c r="D43" s="659">
        <v>48</v>
      </c>
      <c r="E43" s="660">
        <v>0.82301570082511777</v>
      </c>
      <c r="F43" s="661">
        <v>0.30099999999999999</v>
      </c>
      <c r="G43" s="688">
        <v>3</v>
      </c>
      <c r="H43" s="668">
        <f t="shared" si="36"/>
        <v>0.84840809098171022</v>
      </c>
      <c r="I43" s="651">
        <v>0.5</v>
      </c>
      <c r="J43" s="651">
        <f t="shared" si="37"/>
        <v>0</v>
      </c>
      <c r="K43" s="651">
        <f t="shared" si="38"/>
        <v>1</v>
      </c>
      <c r="L43" s="651">
        <f t="shared" si="39"/>
        <v>1</v>
      </c>
      <c r="M43" s="651" t="str">
        <f t="shared" si="40"/>
        <v>No</v>
      </c>
      <c r="N43" s="669">
        <f t="shared" si="0"/>
        <v>0</v>
      </c>
      <c r="O43" s="668">
        <f t="shared" si="41"/>
        <v>0.86433718328283393</v>
      </c>
      <c r="P43" s="651">
        <f t="shared" si="1"/>
        <v>0.3</v>
      </c>
      <c r="Q43" s="651">
        <f t="shared" si="42"/>
        <v>0</v>
      </c>
      <c r="R43" s="651">
        <f t="shared" si="43"/>
        <v>0</v>
      </c>
      <c r="S43" s="651">
        <f t="shared" si="44"/>
        <v>0</v>
      </c>
      <c r="T43" s="651" t="str">
        <f t="shared" si="45"/>
        <v>No</v>
      </c>
      <c r="U43" s="669">
        <f t="shared" si="2"/>
        <v>0</v>
      </c>
      <c r="V43" s="668">
        <f t="shared" si="46"/>
        <v>0.86557119086464318</v>
      </c>
      <c r="W43" s="651">
        <f t="shared" si="3"/>
        <v>0.2</v>
      </c>
      <c r="X43" s="651">
        <f t="shared" si="47"/>
        <v>0</v>
      </c>
      <c r="Y43" s="651">
        <f t="shared" si="48"/>
        <v>0</v>
      </c>
      <c r="Z43" s="651">
        <f t="shared" si="49"/>
        <v>0</v>
      </c>
      <c r="AA43" s="650" t="str">
        <f t="shared" si="50"/>
        <v>No</v>
      </c>
      <c r="AB43" s="669">
        <f t="shared" si="4"/>
        <v>0</v>
      </c>
      <c r="AC43" s="668">
        <f t="shared" si="51"/>
        <v>0.87765527177446034</v>
      </c>
      <c r="AD43" s="651">
        <f t="shared" si="5"/>
        <v>0.1</v>
      </c>
      <c r="AE43" s="651">
        <f t="shared" si="52"/>
        <v>0</v>
      </c>
      <c r="AF43" s="651">
        <f t="shared" si="53"/>
        <v>0</v>
      </c>
      <c r="AG43" s="651">
        <f t="shared" si="54"/>
        <v>0</v>
      </c>
      <c r="AH43" s="651" t="str">
        <f t="shared" si="55"/>
        <v>No</v>
      </c>
      <c r="AI43" s="669">
        <f t="shared" si="6"/>
        <v>0</v>
      </c>
      <c r="AJ43" s="674">
        <f t="shared" si="56"/>
        <v>0.90862487986172347</v>
      </c>
      <c r="AK43" s="654">
        <f t="shared" si="31"/>
        <v>6.1666666666666703E-2</v>
      </c>
      <c r="AL43" s="654">
        <f t="shared" si="57"/>
        <v>0</v>
      </c>
      <c r="AM43" s="654">
        <f t="shared" si="58"/>
        <v>0</v>
      </c>
      <c r="AN43" s="654">
        <f t="shared" si="59"/>
        <v>0</v>
      </c>
      <c r="AO43" s="654" t="str">
        <f t="shared" si="60"/>
        <v>No</v>
      </c>
      <c r="AP43" s="655">
        <f t="shared" si="8"/>
        <v>0</v>
      </c>
    </row>
    <row r="44" spans="1:44" ht="15">
      <c r="A44" s="778" t="s">
        <v>145</v>
      </c>
      <c r="B44" s="644">
        <v>15</v>
      </c>
      <c r="C44" s="767">
        <v>111</v>
      </c>
      <c r="D44" s="665">
        <v>18</v>
      </c>
      <c r="E44" s="687">
        <v>0.83368478531911272</v>
      </c>
      <c r="F44" s="667">
        <v>9.4700000000000006E-2</v>
      </c>
      <c r="G44" s="720">
        <v>2</v>
      </c>
      <c r="H44" s="672">
        <f t="shared" si="36"/>
        <v>0.76013345821065481</v>
      </c>
      <c r="I44" s="653">
        <v>0.5</v>
      </c>
      <c r="J44" s="653">
        <f t="shared" si="37"/>
        <v>1</v>
      </c>
      <c r="K44" s="653">
        <f t="shared" si="38"/>
        <v>1</v>
      </c>
      <c r="L44" s="653">
        <f t="shared" si="39"/>
        <v>2</v>
      </c>
      <c r="M44" s="653" t="str">
        <f t="shared" si="40"/>
        <v>Yes</v>
      </c>
      <c r="N44" s="673">
        <f t="shared" si="0"/>
        <v>0</v>
      </c>
      <c r="O44" s="672">
        <f t="shared" si="41"/>
        <v>0.80293727204429988</v>
      </c>
      <c r="P44" s="653">
        <f t="shared" si="1"/>
        <v>0.3</v>
      </c>
      <c r="Q44" s="653">
        <f t="shared" si="42"/>
        <v>1</v>
      </c>
      <c r="R44" s="653">
        <f t="shared" si="43"/>
        <v>1</v>
      </c>
      <c r="S44" s="653">
        <f t="shared" si="44"/>
        <v>2</v>
      </c>
      <c r="T44" s="653" t="str">
        <f t="shared" si="45"/>
        <v>Yes</v>
      </c>
      <c r="U44" s="673">
        <f t="shared" si="2"/>
        <v>0</v>
      </c>
      <c r="V44" s="672">
        <f t="shared" si="46"/>
        <v>0.82981506022852114</v>
      </c>
      <c r="W44" s="653">
        <f t="shared" si="3"/>
        <v>0.2</v>
      </c>
      <c r="X44" s="653">
        <f t="shared" si="47"/>
        <v>1</v>
      </c>
      <c r="Y44" s="653">
        <f t="shared" si="48"/>
        <v>1</v>
      </c>
      <c r="Z44" s="653">
        <f t="shared" si="49"/>
        <v>2</v>
      </c>
      <c r="AA44" s="652" t="str">
        <f t="shared" si="50"/>
        <v>Yes</v>
      </c>
      <c r="AB44" s="673">
        <f t="shared" si="4"/>
        <v>1</v>
      </c>
      <c r="AC44" s="672">
        <f t="shared" si="51"/>
        <v>0.85001639481062774</v>
      </c>
      <c r="AD44" s="653">
        <f t="shared" si="5"/>
        <v>0.1</v>
      </c>
      <c r="AE44" s="653">
        <f t="shared" si="52"/>
        <v>0</v>
      </c>
      <c r="AF44" s="653">
        <f t="shared" si="53"/>
        <v>1</v>
      </c>
      <c r="AG44" s="653">
        <f t="shared" si="54"/>
        <v>1</v>
      </c>
      <c r="AH44" s="653" t="str">
        <f t="shared" si="55"/>
        <v>No</v>
      </c>
      <c r="AI44" s="673">
        <f t="shared" si="6"/>
        <v>0</v>
      </c>
      <c r="AJ44" s="677">
        <f t="shared" si="56"/>
        <v>0.87313936887379706</v>
      </c>
      <c r="AK44" s="657">
        <f t="shared" si="31"/>
        <v>6.1666666666666703E-2</v>
      </c>
      <c r="AL44" s="657">
        <f t="shared" si="57"/>
        <v>0</v>
      </c>
      <c r="AM44" s="657">
        <f t="shared" si="58"/>
        <v>0</v>
      </c>
      <c r="AN44" s="657">
        <f t="shared" si="59"/>
        <v>0</v>
      </c>
      <c r="AO44" s="657" t="str">
        <f t="shared" si="60"/>
        <v>No</v>
      </c>
      <c r="AP44" s="658">
        <f t="shared" si="8"/>
        <v>0</v>
      </c>
    </row>
    <row r="45" spans="1:44" ht="15">
      <c r="A45" s="777" t="s">
        <v>777</v>
      </c>
      <c r="B45" s="643">
        <v>17</v>
      </c>
      <c r="C45" s="766">
        <v>106</v>
      </c>
      <c r="D45" s="659">
        <v>18</v>
      </c>
      <c r="E45" s="660">
        <v>0.81954572331235065</v>
      </c>
      <c r="F45" s="661">
        <v>0.25090000000000001</v>
      </c>
      <c r="G45" s="688">
        <v>2</v>
      </c>
      <c r="H45" s="668">
        <f t="shared" si="36"/>
        <v>0.76013345821065481</v>
      </c>
      <c r="I45" s="651">
        <v>0.5</v>
      </c>
      <c r="J45" s="651">
        <f t="shared" si="37"/>
        <v>1</v>
      </c>
      <c r="K45" s="651">
        <f t="shared" si="38"/>
        <v>1</v>
      </c>
      <c r="L45" s="651">
        <f t="shared" si="39"/>
        <v>2</v>
      </c>
      <c r="M45" s="651" t="str">
        <f t="shared" si="40"/>
        <v>Yes</v>
      </c>
      <c r="N45" s="669">
        <f t="shared" si="0"/>
        <v>0</v>
      </c>
      <c r="O45" s="668">
        <f t="shared" si="41"/>
        <v>0.80293727204429988</v>
      </c>
      <c r="P45" s="651">
        <f t="shared" si="1"/>
        <v>0.3</v>
      </c>
      <c r="Q45" s="651">
        <f t="shared" si="42"/>
        <v>1</v>
      </c>
      <c r="R45" s="651">
        <f t="shared" si="43"/>
        <v>1</v>
      </c>
      <c r="S45" s="651">
        <f t="shared" si="44"/>
        <v>2</v>
      </c>
      <c r="T45" s="651" t="str">
        <f t="shared" si="45"/>
        <v>Yes</v>
      </c>
      <c r="U45" s="669">
        <f t="shared" si="2"/>
        <v>1</v>
      </c>
      <c r="V45" s="668">
        <f t="shared" si="46"/>
        <v>0.82981506022852114</v>
      </c>
      <c r="W45" s="651">
        <f t="shared" si="3"/>
        <v>0.2</v>
      </c>
      <c r="X45" s="651">
        <f t="shared" si="47"/>
        <v>0</v>
      </c>
      <c r="Y45" s="651">
        <f t="shared" si="48"/>
        <v>0</v>
      </c>
      <c r="Z45" s="651">
        <f t="shared" si="49"/>
        <v>0</v>
      </c>
      <c r="AA45" s="650" t="str">
        <f t="shared" si="50"/>
        <v>No</v>
      </c>
      <c r="AB45" s="669">
        <f t="shared" si="4"/>
        <v>0</v>
      </c>
      <c r="AC45" s="668">
        <f t="shared" si="51"/>
        <v>0.85001639481062774</v>
      </c>
      <c r="AD45" s="651">
        <f t="shared" si="5"/>
        <v>0.1</v>
      </c>
      <c r="AE45" s="651">
        <f t="shared" si="52"/>
        <v>0</v>
      </c>
      <c r="AF45" s="651">
        <f t="shared" si="53"/>
        <v>0</v>
      </c>
      <c r="AG45" s="651">
        <f t="shared" si="54"/>
        <v>0</v>
      </c>
      <c r="AH45" s="651" t="str">
        <f t="shared" si="55"/>
        <v>No</v>
      </c>
      <c r="AI45" s="669">
        <f t="shared" si="6"/>
        <v>0</v>
      </c>
      <c r="AJ45" s="674">
        <f t="shared" si="56"/>
        <v>0.87313936887379706</v>
      </c>
      <c r="AK45" s="654">
        <f t="shared" si="31"/>
        <v>6.1666666666666703E-2</v>
      </c>
      <c r="AL45" s="654">
        <f t="shared" si="57"/>
        <v>0</v>
      </c>
      <c r="AM45" s="654">
        <f t="shared" si="58"/>
        <v>0</v>
      </c>
      <c r="AN45" s="654">
        <f t="shared" si="59"/>
        <v>0</v>
      </c>
      <c r="AO45" s="654" t="str">
        <f t="shared" si="60"/>
        <v>No</v>
      </c>
      <c r="AP45" s="655">
        <f t="shared" si="8"/>
        <v>0</v>
      </c>
    </row>
    <row r="46" spans="1:44" ht="15">
      <c r="A46" s="778" t="s">
        <v>777</v>
      </c>
      <c r="B46" s="644">
        <v>17</v>
      </c>
      <c r="C46" s="767">
        <v>107</v>
      </c>
      <c r="D46" s="665">
        <v>18</v>
      </c>
      <c r="E46" s="687">
        <v>0.81296395579427194</v>
      </c>
      <c r="F46" s="667">
        <v>0.28000000000000003</v>
      </c>
      <c r="G46" s="720">
        <v>2</v>
      </c>
      <c r="H46" s="672">
        <f t="shared" si="36"/>
        <v>0.76013345821065481</v>
      </c>
      <c r="I46" s="653">
        <v>0.5</v>
      </c>
      <c r="J46" s="653">
        <f t="shared" si="37"/>
        <v>1</v>
      </c>
      <c r="K46" s="653">
        <f t="shared" si="38"/>
        <v>1</v>
      </c>
      <c r="L46" s="653">
        <f t="shared" si="39"/>
        <v>2</v>
      </c>
      <c r="M46" s="653" t="str">
        <f t="shared" si="40"/>
        <v>Yes</v>
      </c>
      <c r="N46" s="673">
        <f t="shared" si="0"/>
        <v>0</v>
      </c>
      <c r="O46" s="672">
        <f t="shared" si="41"/>
        <v>0.80293727204429988</v>
      </c>
      <c r="P46" s="653">
        <f t="shared" si="1"/>
        <v>0.3</v>
      </c>
      <c r="Q46" s="653">
        <f t="shared" si="42"/>
        <v>1</v>
      </c>
      <c r="R46" s="653">
        <f t="shared" si="43"/>
        <v>1</v>
      </c>
      <c r="S46" s="653">
        <f t="shared" si="44"/>
        <v>2</v>
      </c>
      <c r="T46" s="653" t="str">
        <f t="shared" si="45"/>
        <v>Yes</v>
      </c>
      <c r="U46" s="673">
        <f t="shared" si="2"/>
        <v>1</v>
      </c>
      <c r="V46" s="672">
        <f t="shared" si="46"/>
        <v>0.82981506022852114</v>
      </c>
      <c r="W46" s="653">
        <f t="shared" si="3"/>
        <v>0.2</v>
      </c>
      <c r="X46" s="653">
        <f t="shared" si="47"/>
        <v>0</v>
      </c>
      <c r="Y46" s="653">
        <f t="shared" si="48"/>
        <v>0</v>
      </c>
      <c r="Z46" s="653">
        <f t="shared" si="49"/>
        <v>0</v>
      </c>
      <c r="AA46" s="652" t="str">
        <f t="shared" si="50"/>
        <v>No</v>
      </c>
      <c r="AB46" s="673">
        <f t="shared" si="4"/>
        <v>0</v>
      </c>
      <c r="AC46" s="672">
        <f t="shared" si="51"/>
        <v>0.85001639481062774</v>
      </c>
      <c r="AD46" s="653">
        <f t="shared" si="5"/>
        <v>0.1</v>
      </c>
      <c r="AE46" s="653">
        <f t="shared" si="52"/>
        <v>0</v>
      </c>
      <c r="AF46" s="653">
        <f t="shared" si="53"/>
        <v>0</v>
      </c>
      <c r="AG46" s="653">
        <f t="shared" si="54"/>
        <v>0</v>
      </c>
      <c r="AH46" s="653" t="str">
        <f t="shared" si="55"/>
        <v>No</v>
      </c>
      <c r="AI46" s="673">
        <f t="shared" si="6"/>
        <v>0</v>
      </c>
      <c r="AJ46" s="677">
        <f t="shared" si="56"/>
        <v>0.87313936887379706</v>
      </c>
      <c r="AK46" s="657">
        <f t="shared" si="31"/>
        <v>6.1666666666666703E-2</v>
      </c>
      <c r="AL46" s="657">
        <f t="shared" si="57"/>
        <v>0</v>
      </c>
      <c r="AM46" s="657">
        <f t="shared" si="58"/>
        <v>0</v>
      </c>
      <c r="AN46" s="657">
        <f t="shared" si="59"/>
        <v>0</v>
      </c>
      <c r="AO46" s="657" t="str">
        <f t="shared" si="60"/>
        <v>No</v>
      </c>
      <c r="AP46" s="658">
        <f t="shared" si="8"/>
        <v>0</v>
      </c>
    </row>
    <row r="47" spans="1:44" ht="15">
      <c r="A47" s="777" t="s">
        <v>455</v>
      </c>
      <c r="B47" s="643">
        <v>20</v>
      </c>
      <c r="C47" s="766">
        <v>7</v>
      </c>
      <c r="D47" s="659">
        <v>80</v>
      </c>
      <c r="E47" s="660">
        <v>0.87890208896150079</v>
      </c>
      <c r="F47" s="661">
        <v>0.157</v>
      </c>
      <c r="G47" s="688">
        <v>3</v>
      </c>
      <c r="H47" s="668">
        <f t="shared" ref="H47:H52" si="61">IF($D47&lt;=1,0.5*$D47,IF($D47&lt;=51,0.09*LN($D47)+0.5,0.85))</f>
        <v>0.85</v>
      </c>
      <c r="I47" s="651">
        <v>0.5</v>
      </c>
      <c r="J47" s="651">
        <f t="shared" ref="J47:J52" si="62">IF($E47&gt;H47,1,0)</f>
        <v>1</v>
      </c>
      <c r="K47" s="651">
        <f t="shared" ref="K47:K52" si="63">IF(I47&gt;$F47,1,0)</f>
        <v>1</v>
      </c>
      <c r="L47" s="651">
        <f t="shared" ref="L47:L52" si="64">SUM(J47:K47)</f>
        <v>2</v>
      </c>
      <c r="M47" s="651" t="str">
        <f t="shared" ref="M47:M52" si="65">IF(L47=2,"Yes","No")</f>
        <v>Yes</v>
      </c>
      <c r="N47" s="669">
        <f t="shared" si="0"/>
        <v>0</v>
      </c>
      <c r="O47" s="668">
        <f t="shared" ref="O47:O52" si="66">IF($D47&lt;=1,0.48*$D47+0.14,IF($D47&lt;=49,0.0626*LN($D47)+0.622,0.87))</f>
        <v>0.87</v>
      </c>
      <c r="P47" s="651">
        <f t="shared" si="1"/>
        <v>0.5</v>
      </c>
      <c r="Q47" s="651">
        <f t="shared" ref="Q47:Q52" si="67">IF($E47&gt;O47,1,0)</f>
        <v>1</v>
      </c>
      <c r="R47" s="651">
        <f t="shared" ref="R47:R52" si="68">IF(P47&gt;$F47,1,0)</f>
        <v>1</v>
      </c>
      <c r="S47" s="651">
        <f t="shared" ref="S47:S52" si="69">SUM(Q47:R47)</f>
        <v>2</v>
      </c>
      <c r="T47" s="651" t="str">
        <f t="shared" ref="T47:T52" si="70">IF(S47=2,"Yes","No")</f>
        <v>Yes</v>
      </c>
      <c r="U47" s="669">
        <f t="shared" si="2"/>
        <v>0</v>
      </c>
      <c r="V47" s="668">
        <f t="shared" ref="V47:V52" si="71">IF($D47&lt;=1,0.49*$D47+0.15,IF($D47&lt;=49,0.0701*LN($D47)-0.0011*$D47+0.647,0.87))</f>
        <v>0.87</v>
      </c>
      <c r="W47" s="651">
        <f t="shared" si="3"/>
        <v>0.23</v>
      </c>
      <c r="X47" s="651">
        <f t="shared" ref="X47:X52" si="72">IF($E47&gt;V47,1,0)</f>
        <v>1</v>
      </c>
      <c r="Y47" s="651">
        <f t="shared" ref="Y47:Y52" si="73">IF(W47&gt;$F47,1,0)</f>
        <v>1</v>
      </c>
      <c r="Z47" s="651">
        <f t="shared" ref="Z47:Z52" si="74">SUM(X47:Y47)</f>
        <v>2</v>
      </c>
      <c r="AA47" s="650" t="str">
        <f t="shared" ref="AA47:AA52" si="75">IF(Z47=2,"Yes","No")</f>
        <v>Yes</v>
      </c>
      <c r="AB47" s="669">
        <f t="shared" si="4"/>
        <v>1</v>
      </c>
      <c r="AC47" s="668">
        <f t="shared" ref="AC47:AC52" si="76">IF($D47&lt;=1,0.5*$D47+0.16,IF($D47&lt;=49,0.071*LN($D47)-0.0014*$D47+0.67,0.879779149034727))</f>
        <v>0.87977914903472698</v>
      </c>
      <c r="AD47" s="651">
        <f t="shared" si="5"/>
        <v>0.21</v>
      </c>
      <c r="AE47" s="651">
        <f t="shared" ref="AE47:AE52" si="77">IF($E47&gt;AC47,1,0)</f>
        <v>0</v>
      </c>
      <c r="AF47" s="651">
        <f t="shared" ref="AF47:AF52" si="78">IF(AD47&gt;$F47,1,0)</f>
        <v>1</v>
      </c>
      <c r="AG47" s="651">
        <f t="shared" ref="AG47:AG52" si="79">SUM(AE47:AF47)</f>
        <v>1</v>
      </c>
      <c r="AH47" s="651" t="str">
        <f t="shared" ref="AH47:AH52" si="80">IF(AG47=2,"Yes","No")</f>
        <v>No</v>
      </c>
      <c r="AI47" s="669">
        <f t="shared" si="6"/>
        <v>0</v>
      </c>
      <c r="AJ47" s="674">
        <f t="shared" ref="AJ47:AJ52" si="81">IF($D47&lt;=1,0.52*$D47+0.17,IF($D47&lt;=49,0.079*LN($D47)-0.0014*$D47+0.67,0.9104))</f>
        <v>0.91039999999999999</v>
      </c>
      <c r="AK47" s="654">
        <f t="shared" ref="AK47:AK52" si="82">IF($D47&lt;49,0.0616666666666667,0.165)</f>
        <v>0.16500000000000001</v>
      </c>
      <c r="AL47" s="654">
        <f t="shared" ref="AL47:AL52" si="83">IF($E47&gt;AJ47,1,0)</f>
        <v>0</v>
      </c>
      <c r="AM47" s="654">
        <f t="shared" ref="AM47:AM52" si="84">IF(AK47&gt;$F47,1,0)</f>
        <v>1</v>
      </c>
      <c r="AN47" s="654">
        <f t="shared" ref="AN47:AN52" si="85">SUM(AL47:AM47)</f>
        <v>1</v>
      </c>
      <c r="AO47" s="654" t="str">
        <f t="shared" ref="AO47:AO52" si="86">IF(AN47=2,"Yes","No")</f>
        <v>No</v>
      </c>
      <c r="AP47" s="655">
        <f t="shared" si="8"/>
        <v>0</v>
      </c>
    </row>
    <row r="48" spans="1:44" ht="15">
      <c r="A48" s="777" t="s">
        <v>455</v>
      </c>
      <c r="B48" s="643">
        <v>20</v>
      </c>
      <c r="C48" s="766">
        <v>8</v>
      </c>
      <c r="D48" s="659">
        <v>49.92</v>
      </c>
      <c r="E48" s="660">
        <v>0.87427499843319634</v>
      </c>
      <c r="F48" s="661">
        <v>0.28899999999999998</v>
      </c>
      <c r="G48" s="688">
        <v>3</v>
      </c>
      <c r="H48" s="668">
        <f t="shared" si="61"/>
        <v>0.85193795516550552</v>
      </c>
      <c r="I48" s="651">
        <v>0.5</v>
      </c>
      <c r="J48" s="651">
        <f t="shared" si="62"/>
        <v>1</v>
      </c>
      <c r="K48" s="651">
        <f t="shared" si="63"/>
        <v>1</v>
      </c>
      <c r="L48" s="651">
        <f t="shared" si="64"/>
        <v>2</v>
      </c>
      <c r="M48" s="651" t="str">
        <f t="shared" si="65"/>
        <v>Yes</v>
      </c>
      <c r="N48" s="669">
        <f t="shared" si="0"/>
        <v>0</v>
      </c>
      <c r="O48" s="668">
        <f t="shared" si="66"/>
        <v>0.87</v>
      </c>
      <c r="P48" s="651">
        <f t="shared" si="1"/>
        <v>0.5</v>
      </c>
      <c r="Q48" s="651">
        <f t="shared" si="67"/>
        <v>1</v>
      </c>
      <c r="R48" s="651">
        <f t="shared" si="68"/>
        <v>1</v>
      </c>
      <c r="S48" s="651">
        <f t="shared" si="69"/>
        <v>2</v>
      </c>
      <c r="T48" s="651" t="str">
        <f t="shared" si="70"/>
        <v>Yes</v>
      </c>
      <c r="U48" s="669">
        <f t="shared" si="2"/>
        <v>1</v>
      </c>
      <c r="V48" s="668">
        <f t="shared" si="71"/>
        <v>0.87</v>
      </c>
      <c r="W48" s="651">
        <f t="shared" si="3"/>
        <v>0.23</v>
      </c>
      <c r="X48" s="651">
        <f t="shared" si="72"/>
        <v>1</v>
      </c>
      <c r="Y48" s="651">
        <f t="shared" si="73"/>
        <v>0</v>
      </c>
      <c r="Z48" s="651">
        <f t="shared" si="74"/>
        <v>1</v>
      </c>
      <c r="AA48" s="650" t="str">
        <f t="shared" si="75"/>
        <v>No</v>
      </c>
      <c r="AB48" s="669">
        <f t="shared" si="4"/>
        <v>0</v>
      </c>
      <c r="AC48" s="668">
        <f t="shared" si="76"/>
        <v>0.87977914903472698</v>
      </c>
      <c r="AD48" s="651">
        <f t="shared" si="5"/>
        <v>0.21</v>
      </c>
      <c r="AE48" s="651">
        <f t="shared" si="77"/>
        <v>0</v>
      </c>
      <c r="AF48" s="651">
        <f t="shared" si="78"/>
        <v>0</v>
      </c>
      <c r="AG48" s="651">
        <f t="shared" si="79"/>
        <v>0</v>
      </c>
      <c r="AH48" s="651" t="str">
        <f t="shared" si="80"/>
        <v>No</v>
      </c>
      <c r="AI48" s="669">
        <f t="shared" si="6"/>
        <v>0</v>
      </c>
      <c r="AJ48" s="674">
        <f t="shared" si="81"/>
        <v>0.91039999999999999</v>
      </c>
      <c r="AK48" s="654">
        <f t="shared" si="82"/>
        <v>0.16500000000000001</v>
      </c>
      <c r="AL48" s="654">
        <f t="shared" si="83"/>
        <v>0</v>
      </c>
      <c r="AM48" s="654">
        <f t="shared" si="84"/>
        <v>0</v>
      </c>
      <c r="AN48" s="654">
        <f t="shared" si="85"/>
        <v>0</v>
      </c>
      <c r="AO48" s="654" t="str">
        <f t="shared" si="86"/>
        <v>No</v>
      </c>
      <c r="AP48" s="655">
        <f t="shared" si="8"/>
        <v>0</v>
      </c>
    </row>
    <row r="49" spans="1:42" ht="15">
      <c r="A49" s="777" t="s">
        <v>455</v>
      </c>
      <c r="B49" s="643">
        <v>20</v>
      </c>
      <c r="C49" s="766">
        <v>9</v>
      </c>
      <c r="D49" s="659">
        <v>49.92</v>
      </c>
      <c r="E49" s="660">
        <v>0.87280934289621004</v>
      </c>
      <c r="F49" s="661">
        <v>0.17499999999999999</v>
      </c>
      <c r="G49" s="688">
        <v>3</v>
      </c>
      <c r="H49" s="668">
        <f t="shared" si="61"/>
        <v>0.85193795516550552</v>
      </c>
      <c r="I49" s="651">
        <v>0.5</v>
      </c>
      <c r="J49" s="651">
        <f t="shared" si="62"/>
        <v>1</v>
      </c>
      <c r="K49" s="651">
        <f t="shared" si="63"/>
        <v>1</v>
      </c>
      <c r="L49" s="651">
        <f t="shared" si="64"/>
        <v>2</v>
      </c>
      <c r="M49" s="651" t="str">
        <f t="shared" si="65"/>
        <v>Yes</v>
      </c>
      <c r="N49" s="669">
        <f t="shared" si="0"/>
        <v>0</v>
      </c>
      <c r="O49" s="668">
        <f t="shared" si="66"/>
        <v>0.87</v>
      </c>
      <c r="P49" s="651">
        <f t="shared" si="1"/>
        <v>0.5</v>
      </c>
      <c r="Q49" s="651">
        <f t="shared" si="67"/>
        <v>1</v>
      </c>
      <c r="R49" s="651">
        <f t="shared" si="68"/>
        <v>1</v>
      </c>
      <c r="S49" s="651">
        <f t="shared" si="69"/>
        <v>2</v>
      </c>
      <c r="T49" s="651" t="str">
        <f t="shared" si="70"/>
        <v>Yes</v>
      </c>
      <c r="U49" s="669">
        <f t="shared" si="2"/>
        <v>0</v>
      </c>
      <c r="V49" s="668">
        <f t="shared" si="71"/>
        <v>0.87</v>
      </c>
      <c r="W49" s="651">
        <f t="shared" si="3"/>
        <v>0.23</v>
      </c>
      <c r="X49" s="651">
        <f t="shared" si="72"/>
        <v>1</v>
      </c>
      <c r="Y49" s="651">
        <f t="shared" si="73"/>
        <v>1</v>
      </c>
      <c r="Z49" s="651">
        <f t="shared" si="74"/>
        <v>2</v>
      </c>
      <c r="AA49" s="650" t="str">
        <f t="shared" si="75"/>
        <v>Yes</v>
      </c>
      <c r="AB49" s="669">
        <f t="shared" si="4"/>
        <v>1</v>
      </c>
      <c r="AC49" s="668">
        <f t="shared" si="76"/>
        <v>0.87977914903472698</v>
      </c>
      <c r="AD49" s="651">
        <f t="shared" si="5"/>
        <v>0.21</v>
      </c>
      <c r="AE49" s="651">
        <f t="shared" si="77"/>
        <v>0</v>
      </c>
      <c r="AF49" s="651">
        <f t="shared" si="78"/>
        <v>1</v>
      </c>
      <c r="AG49" s="651">
        <f t="shared" si="79"/>
        <v>1</v>
      </c>
      <c r="AH49" s="651" t="str">
        <f t="shared" si="80"/>
        <v>No</v>
      </c>
      <c r="AI49" s="669">
        <f t="shared" si="6"/>
        <v>0</v>
      </c>
      <c r="AJ49" s="674">
        <f t="shared" si="81"/>
        <v>0.91039999999999999</v>
      </c>
      <c r="AK49" s="654">
        <f t="shared" si="82"/>
        <v>0.16500000000000001</v>
      </c>
      <c r="AL49" s="654">
        <f t="shared" si="83"/>
        <v>0</v>
      </c>
      <c r="AM49" s="654">
        <f t="shared" si="84"/>
        <v>0</v>
      </c>
      <c r="AN49" s="654">
        <f t="shared" si="85"/>
        <v>0</v>
      </c>
      <c r="AO49" s="654" t="str">
        <f t="shared" si="86"/>
        <v>No</v>
      </c>
      <c r="AP49" s="655">
        <f t="shared" si="8"/>
        <v>0</v>
      </c>
    </row>
    <row r="50" spans="1:42" ht="15">
      <c r="A50" s="777" t="s">
        <v>455</v>
      </c>
      <c r="B50" s="643">
        <v>20</v>
      </c>
      <c r="C50" s="766">
        <v>10</v>
      </c>
      <c r="D50" s="659">
        <v>52.800000000000004</v>
      </c>
      <c r="E50" s="660">
        <v>0.87023931834308688</v>
      </c>
      <c r="F50" s="661">
        <v>0.28899999999999998</v>
      </c>
      <c r="G50" s="688">
        <v>3</v>
      </c>
      <c r="H50" s="668">
        <f t="shared" si="61"/>
        <v>0.85</v>
      </c>
      <c r="I50" s="651">
        <v>0.5</v>
      </c>
      <c r="J50" s="651">
        <f t="shared" si="62"/>
        <v>1</v>
      </c>
      <c r="K50" s="651">
        <f t="shared" si="63"/>
        <v>1</v>
      </c>
      <c r="L50" s="651">
        <f t="shared" si="64"/>
        <v>2</v>
      </c>
      <c r="M50" s="651" t="str">
        <f t="shared" si="65"/>
        <v>Yes</v>
      </c>
      <c r="N50" s="669">
        <f t="shared" si="0"/>
        <v>0</v>
      </c>
      <c r="O50" s="668">
        <f t="shared" si="66"/>
        <v>0.87</v>
      </c>
      <c r="P50" s="651">
        <f t="shared" si="1"/>
        <v>0.5</v>
      </c>
      <c r="Q50" s="651">
        <f t="shared" si="67"/>
        <v>1</v>
      </c>
      <c r="R50" s="651">
        <f t="shared" si="68"/>
        <v>1</v>
      </c>
      <c r="S50" s="651">
        <f t="shared" si="69"/>
        <v>2</v>
      </c>
      <c r="T50" s="651" t="str">
        <f t="shared" si="70"/>
        <v>Yes</v>
      </c>
      <c r="U50" s="669">
        <f t="shared" si="2"/>
        <v>1</v>
      </c>
      <c r="V50" s="668">
        <f t="shared" si="71"/>
        <v>0.87</v>
      </c>
      <c r="W50" s="651">
        <f t="shared" si="3"/>
        <v>0.23</v>
      </c>
      <c r="X50" s="651">
        <f t="shared" si="72"/>
        <v>1</v>
      </c>
      <c r="Y50" s="651">
        <f t="shared" si="73"/>
        <v>0</v>
      </c>
      <c r="Z50" s="651">
        <f t="shared" si="74"/>
        <v>1</v>
      </c>
      <c r="AA50" s="650" t="str">
        <f t="shared" si="75"/>
        <v>No</v>
      </c>
      <c r="AB50" s="669">
        <f t="shared" si="4"/>
        <v>0</v>
      </c>
      <c r="AC50" s="668">
        <f t="shared" si="76"/>
        <v>0.87977914903472698</v>
      </c>
      <c r="AD50" s="651">
        <f t="shared" si="5"/>
        <v>0.21</v>
      </c>
      <c r="AE50" s="651">
        <f t="shared" si="77"/>
        <v>0</v>
      </c>
      <c r="AF50" s="651">
        <f t="shared" si="78"/>
        <v>0</v>
      </c>
      <c r="AG50" s="651">
        <f t="shared" si="79"/>
        <v>0</v>
      </c>
      <c r="AH50" s="651" t="str">
        <f t="shared" si="80"/>
        <v>No</v>
      </c>
      <c r="AI50" s="669">
        <f t="shared" si="6"/>
        <v>0</v>
      </c>
      <c r="AJ50" s="674">
        <f t="shared" si="81"/>
        <v>0.91039999999999999</v>
      </c>
      <c r="AK50" s="654">
        <f t="shared" si="82"/>
        <v>0.16500000000000001</v>
      </c>
      <c r="AL50" s="654">
        <f t="shared" si="83"/>
        <v>0</v>
      </c>
      <c r="AM50" s="654">
        <f t="shared" si="84"/>
        <v>0</v>
      </c>
      <c r="AN50" s="654">
        <f t="shared" si="85"/>
        <v>0</v>
      </c>
      <c r="AO50" s="654" t="str">
        <f t="shared" si="86"/>
        <v>No</v>
      </c>
      <c r="AP50" s="655">
        <f t="shared" si="8"/>
        <v>0</v>
      </c>
    </row>
    <row r="51" spans="1:42" ht="15">
      <c r="A51" s="777" t="s">
        <v>455</v>
      </c>
      <c r="B51" s="643">
        <v>20</v>
      </c>
      <c r="C51" s="766">
        <v>11</v>
      </c>
      <c r="D51" s="659">
        <v>7.5</v>
      </c>
      <c r="E51" s="660">
        <v>0.72185325740778561</v>
      </c>
      <c r="F51" s="661">
        <v>0.14899999999999999</v>
      </c>
      <c r="G51" s="688">
        <v>1</v>
      </c>
      <c r="H51" s="668">
        <f t="shared" si="61"/>
        <v>0.68134127184880378</v>
      </c>
      <c r="I51" s="651">
        <v>0.5</v>
      </c>
      <c r="J51" s="651">
        <f t="shared" si="62"/>
        <v>1</v>
      </c>
      <c r="K51" s="651">
        <f t="shared" si="63"/>
        <v>1</v>
      </c>
      <c r="L51" s="651">
        <f t="shared" si="64"/>
        <v>2</v>
      </c>
      <c r="M51" s="651" t="str">
        <f t="shared" si="65"/>
        <v>Yes</v>
      </c>
      <c r="N51" s="669">
        <f t="shared" si="0"/>
        <v>1</v>
      </c>
      <c r="O51" s="668">
        <f t="shared" si="66"/>
        <v>0.74813292908594575</v>
      </c>
      <c r="P51" s="651">
        <f t="shared" si="1"/>
        <v>0.3</v>
      </c>
      <c r="Q51" s="651">
        <f t="shared" si="67"/>
        <v>0</v>
      </c>
      <c r="R51" s="651">
        <f t="shared" si="68"/>
        <v>1</v>
      </c>
      <c r="S51" s="651">
        <f t="shared" si="69"/>
        <v>1</v>
      </c>
      <c r="T51" s="651" t="str">
        <f t="shared" si="70"/>
        <v>No</v>
      </c>
      <c r="U51" s="669">
        <f t="shared" si="2"/>
        <v>0</v>
      </c>
      <c r="V51" s="668">
        <f t="shared" si="71"/>
        <v>0.77999470174001273</v>
      </c>
      <c r="W51" s="651">
        <f t="shared" si="3"/>
        <v>0.2</v>
      </c>
      <c r="X51" s="651">
        <f t="shared" si="72"/>
        <v>0</v>
      </c>
      <c r="Y51" s="651">
        <f t="shared" si="73"/>
        <v>1</v>
      </c>
      <c r="Z51" s="651">
        <f t="shared" si="74"/>
        <v>1</v>
      </c>
      <c r="AA51" s="650" t="str">
        <f t="shared" si="75"/>
        <v>No</v>
      </c>
      <c r="AB51" s="669">
        <f t="shared" si="4"/>
        <v>0</v>
      </c>
      <c r="AC51" s="668">
        <f t="shared" si="76"/>
        <v>0.80255811445850078</v>
      </c>
      <c r="AD51" s="651">
        <f t="shared" si="5"/>
        <v>0.1</v>
      </c>
      <c r="AE51" s="651">
        <f t="shared" si="77"/>
        <v>0</v>
      </c>
      <c r="AF51" s="651">
        <f t="shared" si="78"/>
        <v>0</v>
      </c>
      <c r="AG51" s="651">
        <f t="shared" si="79"/>
        <v>0</v>
      </c>
      <c r="AH51" s="651" t="str">
        <f t="shared" si="80"/>
        <v>No</v>
      </c>
      <c r="AI51" s="669">
        <f t="shared" si="6"/>
        <v>0</v>
      </c>
      <c r="AJ51" s="674">
        <f t="shared" si="81"/>
        <v>0.81867733862283898</v>
      </c>
      <c r="AK51" s="654">
        <f t="shared" si="82"/>
        <v>6.1666666666666703E-2</v>
      </c>
      <c r="AL51" s="654">
        <f t="shared" si="83"/>
        <v>0</v>
      </c>
      <c r="AM51" s="654">
        <f t="shared" si="84"/>
        <v>0</v>
      </c>
      <c r="AN51" s="654">
        <f t="shared" si="85"/>
        <v>0</v>
      </c>
      <c r="AO51" s="654" t="str">
        <f t="shared" si="86"/>
        <v>No</v>
      </c>
      <c r="AP51" s="655">
        <f t="shared" si="8"/>
        <v>0</v>
      </c>
    </row>
    <row r="52" spans="1:42" ht="15">
      <c r="A52" s="778" t="s">
        <v>455</v>
      </c>
      <c r="B52" s="644">
        <v>20</v>
      </c>
      <c r="C52" s="767">
        <v>34</v>
      </c>
      <c r="D52" s="665">
        <v>32.1</v>
      </c>
      <c r="E52" s="687">
        <v>0.86076813137802821</v>
      </c>
      <c r="F52" s="667">
        <v>0.22</v>
      </c>
      <c r="G52" s="720">
        <v>3</v>
      </c>
      <c r="H52" s="672">
        <f t="shared" si="61"/>
        <v>0.81219704271223736</v>
      </c>
      <c r="I52" s="653">
        <v>0.5</v>
      </c>
      <c r="J52" s="653">
        <f t="shared" si="62"/>
        <v>1</v>
      </c>
      <c r="K52" s="653">
        <f t="shared" si="63"/>
        <v>1</v>
      </c>
      <c r="L52" s="653">
        <f t="shared" si="64"/>
        <v>2</v>
      </c>
      <c r="M52" s="653" t="str">
        <f t="shared" si="65"/>
        <v>Yes</v>
      </c>
      <c r="N52" s="673">
        <f t="shared" si="0"/>
        <v>0</v>
      </c>
      <c r="O52" s="672">
        <f t="shared" si="66"/>
        <v>0.83915038748651172</v>
      </c>
      <c r="P52" s="653">
        <f t="shared" si="1"/>
        <v>0.3</v>
      </c>
      <c r="Q52" s="653">
        <f t="shared" si="67"/>
        <v>1</v>
      </c>
      <c r="R52" s="653">
        <f t="shared" si="68"/>
        <v>1</v>
      </c>
      <c r="S52" s="653">
        <f t="shared" si="69"/>
        <v>2</v>
      </c>
      <c r="T52" s="653" t="str">
        <f t="shared" si="70"/>
        <v>Yes</v>
      </c>
      <c r="U52" s="673">
        <f t="shared" si="2"/>
        <v>1</v>
      </c>
      <c r="V52" s="672">
        <f t="shared" si="71"/>
        <v>0.85485680771253147</v>
      </c>
      <c r="W52" s="653">
        <f t="shared" si="3"/>
        <v>0.2</v>
      </c>
      <c r="X52" s="653">
        <f t="shared" si="72"/>
        <v>1</v>
      </c>
      <c r="Y52" s="653">
        <f t="shared" si="73"/>
        <v>0</v>
      </c>
      <c r="Z52" s="653">
        <f t="shared" si="74"/>
        <v>1</v>
      </c>
      <c r="AA52" s="652" t="str">
        <f t="shared" si="75"/>
        <v>No</v>
      </c>
      <c r="AB52" s="673">
        <f t="shared" si="4"/>
        <v>0</v>
      </c>
      <c r="AC52" s="672">
        <f t="shared" si="76"/>
        <v>0.87134877813965383</v>
      </c>
      <c r="AD52" s="653">
        <f t="shared" si="5"/>
        <v>0.1</v>
      </c>
      <c r="AE52" s="653">
        <f t="shared" si="77"/>
        <v>0</v>
      </c>
      <c r="AF52" s="653">
        <f t="shared" si="78"/>
        <v>0</v>
      </c>
      <c r="AG52" s="653">
        <f t="shared" si="79"/>
        <v>0</v>
      </c>
      <c r="AH52" s="653" t="str">
        <f t="shared" si="80"/>
        <v>No</v>
      </c>
      <c r="AI52" s="673">
        <f t="shared" si="6"/>
        <v>0</v>
      </c>
      <c r="AJ52" s="677">
        <f t="shared" si="81"/>
        <v>0.8990996263807417</v>
      </c>
      <c r="AK52" s="657">
        <f t="shared" si="82"/>
        <v>6.1666666666666703E-2</v>
      </c>
      <c r="AL52" s="657">
        <f t="shared" si="83"/>
        <v>0</v>
      </c>
      <c r="AM52" s="657">
        <f t="shared" si="84"/>
        <v>0</v>
      </c>
      <c r="AN52" s="657">
        <f t="shared" si="85"/>
        <v>0</v>
      </c>
      <c r="AO52" s="657" t="str">
        <f t="shared" si="86"/>
        <v>No</v>
      </c>
      <c r="AP52" s="658">
        <f t="shared" si="8"/>
        <v>0</v>
      </c>
    </row>
    <row r="53" spans="1:42" ht="15">
      <c r="A53" s="777" t="s">
        <v>114</v>
      </c>
      <c r="B53" s="643">
        <v>24</v>
      </c>
      <c r="C53" s="766">
        <v>36</v>
      </c>
      <c r="D53" s="659">
        <v>5</v>
      </c>
      <c r="E53" s="660">
        <v>0.65659999999999996</v>
      </c>
      <c r="F53" s="661">
        <v>0.21</v>
      </c>
      <c r="G53" s="688">
        <v>1</v>
      </c>
      <c r="H53" s="668">
        <f t="shared" ref="H53:H64" si="87">IF($D53&lt;=1,0.5*$D53,IF($D53&lt;=51,0.09*LN($D53)+0.5,0.85))</f>
        <v>0.64484941211906899</v>
      </c>
      <c r="I53" s="651">
        <v>0.5</v>
      </c>
      <c r="J53" s="651">
        <f t="shared" ref="J53:J64" si="88">IF($E53&gt;H53,1,0)</f>
        <v>1</v>
      </c>
      <c r="K53" s="651">
        <f t="shared" ref="K53:K64" si="89">IF(I53&gt;$F53,1,0)</f>
        <v>1</v>
      </c>
      <c r="L53" s="651">
        <f t="shared" ref="L53:L64" si="90">SUM(J53:K53)</f>
        <v>2</v>
      </c>
      <c r="M53" s="651" t="str">
        <f t="shared" ref="M53:M64" si="91">IF(L53=2,"Yes","No")</f>
        <v>Yes</v>
      </c>
      <c r="N53" s="670">
        <f t="shared" si="0"/>
        <v>1</v>
      </c>
      <c r="O53" s="668">
        <f t="shared" ref="O53:O64" si="92">IF($D53&lt;=1,0.48*$D53+0.14,IF($D53&lt;=49,0.0626*LN($D53)+0.622,0.87))</f>
        <v>0.72275081331837465</v>
      </c>
      <c r="P53" s="651">
        <f t="shared" si="1"/>
        <v>0.3</v>
      </c>
      <c r="Q53" s="651">
        <f t="shared" ref="Q53:Q64" si="93">IF($E53&gt;O53,1,0)</f>
        <v>0</v>
      </c>
      <c r="R53" s="651">
        <f t="shared" ref="R53:R64" si="94">IF(P53&gt;$F53,1,0)</f>
        <v>1</v>
      </c>
      <c r="S53" s="651">
        <f t="shared" ref="S53:S64" si="95">SUM(Q53:R53)</f>
        <v>1</v>
      </c>
      <c r="T53" s="651" t="str">
        <f t="shared" ref="T53:T64" si="96">IF(S53=2,"Yes","No")</f>
        <v>No</v>
      </c>
      <c r="U53" s="669">
        <f t="shared" si="2"/>
        <v>0</v>
      </c>
      <c r="V53" s="668">
        <f t="shared" ref="V53:V64" si="97">IF($D53&lt;=1,0.49*$D53+0.15,IF($D53&lt;=49,0.0701*LN($D53)-0.0011*$D53+0.647,0.87))</f>
        <v>0.75432159766163043</v>
      </c>
      <c r="W53" s="651">
        <f t="shared" si="3"/>
        <v>0.2</v>
      </c>
      <c r="X53" s="651">
        <f t="shared" ref="X53:X64" si="98">IF($E53&gt;V53,1,0)</f>
        <v>0</v>
      </c>
      <c r="Y53" s="651">
        <f t="shared" ref="Y53:Y64" si="99">IF(W53&gt;$F53,1,0)</f>
        <v>0</v>
      </c>
      <c r="Z53" s="651">
        <f t="shared" ref="Z53:Z64" si="100">SUM(X53:Y53)</f>
        <v>0</v>
      </c>
      <c r="AA53" s="650" t="str">
        <f t="shared" ref="AA53:AA64" si="101">IF(Z53=2,"Yes","No")</f>
        <v>No</v>
      </c>
      <c r="AB53" s="669">
        <f t="shared" si="4"/>
        <v>0</v>
      </c>
      <c r="AC53" s="668">
        <f t="shared" ref="AC53:AC64" si="102">IF($D53&lt;=1,0.5*$D53+0.16,IF($D53&lt;=49,0.071*LN($D53)-0.0014*$D53+0.67,0.879779149034727))</f>
        <v>0.77727009178282114</v>
      </c>
      <c r="AD53" s="651">
        <f t="shared" si="5"/>
        <v>0.1</v>
      </c>
      <c r="AE53" s="651">
        <f t="shared" ref="AE53:AE64" si="103">IF($E53&gt;AC53,1,0)</f>
        <v>0</v>
      </c>
      <c r="AF53" s="651">
        <f t="shared" ref="AF53:AF64" si="104">IF(AD53&gt;$F53,1,0)</f>
        <v>0</v>
      </c>
      <c r="AG53" s="651">
        <f t="shared" ref="AG53:AG64" si="105">SUM(AE53:AF53)</f>
        <v>0</v>
      </c>
      <c r="AH53" s="651" t="str">
        <f t="shared" ref="AH53:AH64" si="106">IF(AG53=2,"Yes","No")</f>
        <v>No</v>
      </c>
      <c r="AI53" s="669">
        <f t="shared" si="6"/>
        <v>0</v>
      </c>
      <c r="AJ53" s="675">
        <f t="shared" ref="AJ53:AJ64" si="107">IF($D53&lt;=1,0.52*$D53+0.17,IF($D53&lt;=49,0.079*LN($D53)-0.0014*$D53+0.67,0.9104))</f>
        <v>0.79014559508229398</v>
      </c>
      <c r="AK53" s="654">
        <f t="shared" ref="AK53:AK64" si="108">IF($D53&lt;49,0.0616666666666667,0.165)</f>
        <v>6.1666666666666703E-2</v>
      </c>
      <c r="AL53" s="656">
        <f t="shared" ref="AL53:AL64" si="109">IF($E53&gt;AJ53,1,0)</f>
        <v>0</v>
      </c>
      <c r="AM53" s="656">
        <f t="shared" ref="AM53:AM64" si="110">IF(AK53&gt;$F53,1,0)</f>
        <v>0</v>
      </c>
      <c r="AN53" s="656">
        <f t="shared" ref="AN53:AN64" si="111">SUM(AL53:AM53)</f>
        <v>0</v>
      </c>
      <c r="AO53" s="656" t="str">
        <f t="shared" ref="AO53:AO64" si="112">IF(AN53=2,"Yes","No")</f>
        <v>No</v>
      </c>
      <c r="AP53" s="676">
        <f t="shared" si="8"/>
        <v>0</v>
      </c>
    </row>
    <row r="54" spans="1:42" ht="15">
      <c r="A54" s="777" t="s">
        <v>114</v>
      </c>
      <c r="B54" s="643">
        <v>24</v>
      </c>
      <c r="C54" s="766">
        <v>37</v>
      </c>
      <c r="D54" s="659">
        <v>6</v>
      </c>
      <c r="E54" s="660">
        <v>0.76420111367993282</v>
      </c>
      <c r="F54" s="661">
        <v>0.11</v>
      </c>
      <c r="G54" s="688">
        <v>1</v>
      </c>
      <c r="H54" s="668">
        <f t="shared" si="87"/>
        <v>0.66125835223052498</v>
      </c>
      <c r="I54" s="651">
        <v>0.5</v>
      </c>
      <c r="J54" s="651">
        <f t="shared" si="88"/>
        <v>1</v>
      </c>
      <c r="K54" s="651">
        <f t="shared" si="89"/>
        <v>1</v>
      </c>
      <c r="L54" s="651">
        <f t="shared" si="90"/>
        <v>2</v>
      </c>
      <c r="M54" s="651" t="str">
        <f t="shared" si="91"/>
        <v>Yes</v>
      </c>
      <c r="N54" s="670">
        <f t="shared" si="0"/>
        <v>0</v>
      </c>
      <c r="O54" s="668">
        <f t="shared" si="92"/>
        <v>0.73416414277367625</v>
      </c>
      <c r="P54" s="651">
        <f t="shared" si="1"/>
        <v>0.3</v>
      </c>
      <c r="Q54" s="651">
        <f t="shared" si="93"/>
        <v>1</v>
      </c>
      <c r="R54" s="651">
        <f t="shared" si="94"/>
        <v>1</v>
      </c>
      <c r="S54" s="651">
        <f t="shared" si="95"/>
        <v>2</v>
      </c>
      <c r="T54" s="651" t="str">
        <f t="shared" si="96"/>
        <v>Yes</v>
      </c>
      <c r="U54" s="669">
        <f t="shared" si="2"/>
        <v>1</v>
      </c>
      <c r="V54" s="668">
        <f t="shared" si="97"/>
        <v>0.76600233879288671</v>
      </c>
      <c r="W54" s="651">
        <f t="shared" si="3"/>
        <v>0.2</v>
      </c>
      <c r="X54" s="651">
        <f t="shared" si="98"/>
        <v>0</v>
      </c>
      <c r="Y54" s="651">
        <f t="shared" si="99"/>
        <v>1</v>
      </c>
      <c r="Z54" s="651">
        <f t="shared" si="100"/>
        <v>1</v>
      </c>
      <c r="AA54" s="650" t="str">
        <f t="shared" si="101"/>
        <v>No</v>
      </c>
      <c r="AB54" s="669">
        <f t="shared" si="4"/>
        <v>0</v>
      </c>
      <c r="AC54" s="668">
        <f t="shared" si="102"/>
        <v>0.7888149223151919</v>
      </c>
      <c r="AD54" s="651">
        <f t="shared" si="5"/>
        <v>0.1</v>
      </c>
      <c r="AE54" s="651">
        <f t="shared" si="103"/>
        <v>0</v>
      </c>
      <c r="AF54" s="651">
        <f t="shared" si="104"/>
        <v>0</v>
      </c>
      <c r="AG54" s="651">
        <f t="shared" si="105"/>
        <v>0</v>
      </c>
      <c r="AH54" s="651" t="str">
        <f t="shared" si="106"/>
        <v>No</v>
      </c>
      <c r="AI54" s="669">
        <f t="shared" si="6"/>
        <v>0</v>
      </c>
      <c r="AJ54" s="675">
        <f t="shared" si="107"/>
        <v>0.80314899806901641</v>
      </c>
      <c r="AK54" s="654">
        <f t="shared" si="108"/>
        <v>6.1666666666666703E-2</v>
      </c>
      <c r="AL54" s="656">
        <f t="shared" si="109"/>
        <v>0</v>
      </c>
      <c r="AM54" s="656">
        <f t="shared" si="110"/>
        <v>0</v>
      </c>
      <c r="AN54" s="656">
        <f t="shared" si="111"/>
        <v>0</v>
      </c>
      <c r="AO54" s="656" t="str">
        <f t="shared" si="112"/>
        <v>No</v>
      </c>
      <c r="AP54" s="676">
        <f t="shared" si="8"/>
        <v>0</v>
      </c>
    </row>
    <row r="55" spans="1:42" ht="15">
      <c r="A55" s="777" t="s">
        <v>114</v>
      </c>
      <c r="B55" s="643">
        <v>24</v>
      </c>
      <c r="C55" s="766">
        <v>38</v>
      </c>
      <c r="D55" s="659">
        <v>9</v>
      </c>
      <c r="E55" s="660">
        <v>0.83448944108232792</v>
      </c>
      <c r="F55" s="661">
        <v>4.9000000000000002E-2</v>
      </c>
      <c r="G55" s="688">
        <v>1</v>
      </c>
      <c r="H55" s="668">
        <f t="shared" si="87"/>
        <v>0.69775021196025977</v>
      </c>
      <c r="I55" s="651">
        <v>0.5</v>
      </c>
      <c r="J55" s="651">
        <f t="shared" si="88"/>
        <v>1</v>
      </c>
      <c r="K55" s="651">
        <f t="shared" si="89"/>
        <v>1</v>
      </c>
      <c r="L55" s="651">
        <f t="shared" si="90"/>
        <v>2</v>
      </c>
      <c r="M55" s="651" t="str">
        <f t="shared" si="91"/>
        <v>Yes</v>
      </c>
      <c r="N55" s="669">
        <f t="shared" si="0"/>
        <v>0</v>
      </c>
      <c r="O55" s="668">
        <f t="shared" si="92"/>
        <v>0.75954625854124735</v>
      </c>
      <c r="P55" s="651">
        <f t="shared" si="1"/>
        <v>0.3</v>
      </c>
      <c r="Q55" s="651">
        <f t="shared" si="93"/>
        <v>1</v>
      </c>
      <c r="R55" s="651">
        <f t="shared" si="94"/>
        <v>1</v>
      </c>
      <c r="S55" s="651">
        <f t="shared" si="95"/>
        <v>2</v>
      </c>
      <c r="T55" s="651" t="str">
        <f t="shared" si="96"/>
        <v>Yes</v>
      </c>
      <c r="U55" s="669">
        <f t="shared" si="2"/>
        <v>0</v>
      </c>
      <c r="V55" s="668">
        <f t="shared" si="97"/>
        <v>0.79112544287126907</v>
      </c>
      <c r="W55" s="651">
        <f t="shared" si="3"/>
        <v>0.2</v>
      </c>
      <c r="X55" s="651">
        <f t="shared" si="98"/>
        <v>1</v>
      </c>
      <c r="Y55" s="651">
        <f t="shared" si="99"/>
        <v>1</v>
      </c>
      <c r="Z55" s="651">
        <f t="shared" si="100"/>
        <v>2</v>
      </c>
      <c r="AA55" s="650" t="str">
        <f t="shared" si="101"/>
        <v>Yes</v>
      </c>
      <c r="AB55" s="669">
        <f t="shared" si="4"/>
        <v>0</v>
      </c>
      <c r="AC55" s="668">
        <f t="shared" si="102"/>
        <v>0.81340294499087162</v>
      </c>
      <c r="AD55" s="651">
        <f t="shared" si="5"/>
        <v>0.1</v>
      </c>
      <c r="AE55" s="651">
        <f t="shared" si="103"/>
        <v>1</v>
      </c>
      <c r="AF55" s="651">
        <f t="shared" si="104"/>
        <v>1</v>
      </c>
      <c r="AG55" s="651">
        <f t="shared" si="105"/>
        <v>2</v>
      </c>
      <c r="AH55" s="651" t="str">
        <f t="shared" si="106"/>
        <v>Yes</v>
      </c>
      <c r="AI55" s="669">
        <f t="shared" si="6"/>
        <v>0</v>
      </c>
      <c r="AJ55" s="674">
        <f t="shared" si="107"/>
        <v>0.83098074160956137</v>
      </c>
      <c r="AK55" s="654">
        <f t="shared" si="108"/>
        <v>6.1666666666666703E-2</v>
      </c>
      <c r="AL55" s="654">
        <f t="shared" si="109"/>
        <v>1</v>
      </c>
      <c r="AM55" s="654">
        <f t="shared" si="110"/>
        <v>1</v>
      </c>
      <c r="AN55" s="654">
        <f t="shared" si="111"/>
        <v>2</v>
      </c>
      <c r="AO55" s="654" t="str">
        <f t="shared" si="112"/>
        <v>Yes</v>
      </c>
      <c r="AP55" s="655">
        <f t="shared" si="8"/>
        <v>1</v>
      </c>
    </row>
    <row r="56" spans="1:42" ht="15">
      <c r="A56" s="777" t="s">
        <v>114</v>
      </c>
      <c r="B56" s="643">
        <v>24</v>
      </c>
      <c r="C56" s="766">
        <v>39</v>
      </c>
      <c r="D56" s="659">
        <v>9</v>
      </c>
      <c r="E56" s="660">
        <v>0.82917772891990693</v>
      </c>
      <c r="F56" s="661">
        <v>5.1999999999999998E-2</v>
      </c>
      <c r="G56" s="688">
        <v>1</v>
      </c>
      <c r="H56" s="668">
        <f t="shared" si="87"/>
        <v>0.69775021196025977</v>
      </c>
      <c r="I56" s="651">
        <v>0.5</v>
      </c>
      <c r="J56" s="651">
        <f t="shared" si="88"/>
        <v>1</v>
      </c>
      <c r="K56" s="651">
        <f t="shared" si="89"/>
        <v>1</v>
      </c>
      <c r="L56" s="651">
        <f t="shared" si="90"/>
        <v>2</v>
      </c>
      <c r="M56" s="651" t="str">
        <f t="shared" si="91"/>
        <v>Yes</v>
      </c>
      <c r="N56" s="669">
        <f t="shared" si="0"/>
        <v>0</v>
      </c>
      <c r="O56" s="668">
        <f t="shared" si="92"/>
        <v>0.75954625854124735</v>
      </c>
      <c r="P56" s="651">
        <f t="shared" si="1"/>
        <v>0.3</v>
      </c>
      <c r="Q56" s="651">
        <f t="shared" si="93"/>
        <v>1</v>
      </c>
      <c r="R56" s="651">
        <f t="shared" si="94"/>
        <v>1</v>
      </c>
      <c r="S56" s="651">
        <f t="shared" si="95"/>
        <v>2</v>
      </c>
      <c r="T56" s="651" t="str">
        <f t="shared" si="96"/>
        <v>Yes</v>
      </c>
      <c r="U56" s="669">
        <f t="shared" si="2"/>
        <v>0</v>
      </c>
      <c r="V56" s="668">
        <f t="shared" si="97"/>
        <v>0.79112544287126907</v>
      </c>
      <c r="W56" s="651">
        <f t="shared" si="3"/>
        <v>0.2</v>
      </c>
      <c r="X56" s="651">
        <f t="shared" si="98"/>
        <v>1</v>
      </c>
      <c r="Y56" s="651">
        <f t="shared" si="99"/>
        <v>1</v>
      </c>
      <c r="Z56" s="651">
        <f t="shared" si="100"/>
        <v>2</v>
      </c>
      <c r="AA56" s="650" t="str">
        <f t="shared" si="101"/>
        <v>Yes</v>
      </c>
      <c r="AB56" s="669">
        <f t="shared" si="4"/>
        <v>0</v>
      </c>
      <c r="AC56" s="668">
        <f t="shared" si="102"/>
        <v>0.81340294499087162</v>
      </c>
      <c r="AD56" s="651">
        <f t="shared" si="5"/>
        <v>0.1</v>
      </c>
      <c r="AE56" s="651">
        <f t="shared" si="103"/>
        <v>1</v>
      </c>
      <c r="AF56" s="651">
        <f t="shared" si="104"/>
        <v>1</v>
      </c>
      <c r="AG56" s="651">
        <f t="shared" si="105"/>
        <v>2</v>
      </c>
      <c r="AH56" s="651" t="str">
        <f t="shared" si="106"/>
        <v>Yes</v>
      </c>
      <c r="AI56" s="669">
        <f t="shared" si="6"/>
        <v>1</v>
      </c>
      <c r="AJ56" s="674">
        <f t="shared" si="107"/>
        <v>0.83098074160956137</v>
      </c>
      <c r="AK56" s="654">
        <f t="shared" si="108"/>
        <v>6.1666666666666703E-2</v>
      </c>
      <c r="AL56" s="654">
        <f t="shared" si="109"/>
        <v>0</v>
      </c>
      <c r="AM56" s="654">
        <f t="shared" si="110"/>
        <v>1</v>
      </c>
      <c r="AN56" s="654">
        <f t="shared" si="111"/>
        <v>1</v>
      </c>
      <c r="AO56" s="654" t="str">
        <f t="shared" si="112"/>
        <v>No</v>
      </c>
      <c r="AP56" s="655">
        <f t="shared" si="8"/>
        <v>0</v>
      </c>
    </row>
    <row r="57" spans="1:42" ht="15">
      <c r="A57" s="777" t="s">
        <v>114</v>
      </c>
      <c r="B57" s="643">
        <v>24</v>
      </c>
      <c r="C57" s="766">
        <v>40</v>
      </c>
      <c r="D57" s="659">
        <v>6</v>
      </c>
      <c r="E57" s="660">
        <v>0.76746094307490342</v>
      </c>
      <c r="F57" s="661">
        <v>0.151</v>
      </c>
      <c r="G57" s="688">
        <v>1</v>
      </c>
      <c r="H57" s="668">
        <f t="shared" si="87"/>
        <v>0.66125835223052498</v>
      </c>
      <c r="I57" s="651">
        <v>0.5</v>
      </c>
      <c r="J57" s="651">
        <f t="shared" si="88"/>
        <v>1</v>
      </c>
      <c r="K57" s="651">
        <f t="shared" si="89"/>
        <v>1</v>
      </c>
      <c r="L57" s="651">
        <f t="shared" si="90"/>
        <v>2</v>
      </c>
      <c r="M57" s="651" t="str">
        <f t="shared" si="91"/>
        <v>Yes</v>
      </c>
      <c r="N57" s="669">
        <f t="shared" si="0"/>
        <v>0</v>
      </c>
      <c r="O57" s="668">
        <f t="shared" si="92"/>
        <v>0.73416414277367625</v>
      </c>
      <c r="P57" s="651">
        <f t="shared" si="1"/>
        <v>0.3</v>
      </c>
      <c r="Q57" s="651">
        <f t="shared" si="93"/>
        <v>1</v>
      </c>
      <c r="R57" s="651">
        <f t="shared" si="94"/>
        <v>1</v>
      </c>
      <c r="S57" s="651">
        <f t="shared" si="95"/>
        <v>2</v>
      </c>
      <c r="T57" s="651" t="str">
        <f t="shared" si="96"/>
        <v>Yes</v>
      </c>
      <c r="U57" s="669">
        <f t="shared" si="2"/>
        <v>0</v>
      </c>
      <c r="V57" s="668">
        <f t="shared" si="97"/>
        <v>0.76600233879288671</v>
      </c>
      <c r="W57" s="651">
        <f t="shared" si="3"/>
        <v>0.2</v>
      </c>
      <c r="X57" s="651">
        <f t="shared" si="98"/>
        <v>1</v>
      </c>
      <c r="Y57" s="651">
        <f t="shared" si="99"/>
        <v>1</v>
      </c>
      <c r="Z57" s="651">
        <f t="shared" si="100"/>
        <v>2</v>
      </c>
      <c r="AA57" s="650" t="str">
        <f t="shared" si="101"/>
        <v>Yes</v>
      </c>
      <c r="AB57" s="669">
        <f t="shared" si="4"/>
        <v>1</v>
      </c>
      <c r="AC57" s="668">
        <f t="shared" si="102"/>
        <v>0.7888149223151919</v>
      </c>
      <c r="AD57" s="651">
        <f t="shared" si="5"/>
        <v>0.1</v>
      </c>
      <c r="AE57" s="651">
        <f t="shared" si="103"/>
        <v>0</v>
      </c>
      <c r="AF57" s="651">
        <f t="shared" si="104"/>
        <v>0</v>
      </c>
      <c r="AG57" s="651">
        <f t="shared" si="105"/>
        <v>0</v>
      </c>
      <c r="AH57" s="651" t="str">
        <f t="shared" si="106"/>
        <v>No</v>
      </c>
      <c r="AI57" s="669">
        <f t="shared" si="6"/>
        <v>0</v>
      </c>
      <c r="AJ57" s="674">
        <f t="shared" si="107"/>
        <v>0.80314899806901641</v>
      </c>
      <c r="AK57" s="654">
        <f t="shared" si="108"/>
        <v>6.1666666666666703E-2</v>
      </c>
      <c r="AL57" s="654">
        <f t="shared" si="109"/>
        <v>0</v>
      </c>
      <c r="AM57" s="654">
        <f t="shared" si="110"/>
        <v>0</v>
      </c>
      <c r="AN57" s="654">
        <f t="shared" si="111"/>
        <v>0</v>
      </c>
      <c r="AO57" s="654" t="str">
        <f t="shared" si="112"/>
        <v>No</v>
      </c>
      <c r="AP57" s="655">
        <f t="shared" si="8"/>
        <v>0</v>
      </c>
    </row>
    <row r="58" spans="1:42" ht="15">
      <c r="A58" s="777" t="s">
        <v>114</v>
      </c>
      <c r="B58" s="643">
        <v>24</v>
      </c>
      <c r="C58" s="766">
        <v>41</v>
      </c>
      <c r="D58" s="659">
        <v>12</v>
      </c>
      <c r="E58" s="660">
        <v>0.86828000444163755</v>
      </c>
      <c r="F58" s="661">
        <v>9.4E-2</v>
      </c>
      <c r="G58" s="688">
        <v>2</v>
      </c>
      <c r="H58" s="668">
        <f t="shared" si="87"/>
        <v>0.72364159848092002</v>
      </c>
      <c r="I58" s="651">
        <v>0.5</v>
      </c>
      <c r="J58" s="651">
        <f t="shared" si="88"/>
        <v>1</v>
      </c>
      <c r="K58" s="651">
        <f t="shared" si="89"/>
        <v>1</v>
      </c>
      <c r="L58" s="651">
        <f t="shared" si="90"/>
        <v>2</v>
      </c>
      <c r="M58" s="651" t="str">
        <f t="shared" si="91"/>
        <v>Yes</v>
      </c>
      <c r="N58" s="669">
        <f t="shared" si="0"/>
        <v>0</v>
      </c>
      <c r="O58" s="668">
        <f t="shared" si="92"/>
        <v>0.77755515627672889</v>
      </c>
      <c r="P58" s="651">
        <f t="shared" ref="P58:P104" si="113">IF($D58&lt;49,0.3,0.5)</f>
        <v>0.3</v>
      </c>
      <c r="Q58" s="651">
        <f t="shared" si="93"/>
        <v>1</v>
      </c>
      <c r="R58" s="651">
        <f t="shared" si="94"/>
        <v>1</v>
      </c>
      <c r="S58" s="651">
        <f t="shared" si="95"/>
        <v>2</v>
      </c>
      <c r="T58" s="651" t="str">
        <f t="shared" si="96"/>
        <v>Yes</v>
      </c>
      <c r="U58" s="669">
        <f t="shared" si="2"/>
        <v>0</v>
      </c>
      <c r="V58" s="668">
        <f t="shared" si="97"/>
        <v>0.80799195615013886</v>
      </c>
      <c r="W58" s="651">
        <f t="shared" ref="W58:W104" si="114">IF($D58&lt;49,0.2,0.23)</f>
        <v>0.2</v>
      </c>
      <c r="X58" s="651">
        <f t="shared" si="98"/>
        <v>1</v>
      </c>
      <c r="Y58" s="651">
        <f t="shared" si="99"/>
        <v>1</v>
      </c>
      <c r="Z58" s="651">
        <f t="shared" si="100"/>
        <v>2</v>
      </c>
      <c r="AA58" s="650" t="str">
        <f t="shared" si="101"/>
        <v>Yes</v>
      </c>
      <c r="AB58" s="669">
        <f t="shared" si="4"/>
        <v>0</v>
      </c>
      <c r="AC58" s="668">
        <f t="shared" si="102"/>
        <v>0.829628372134948</v>
      </c>
      <c r="AD58" s="651">
        <f t="shared" ref="AD58:AD104" si="115">IF($D58&lt;49,0.1,0.21)</f>
        <v>0.1</v>
      </c>
      <c r="AE58" s="651">
        <f t="shared" si="103"/>
        <v>1</v>
      </c>
      <c r="AF58" s="651">
        <f t="shared" si="104"/>
        <v>1</v>
      </c>
      <c r="AG58" s="651">
        <f t="shared" si="105"/>
        <v>2</v>
      </c>
      <c r="AH58" s="651" t="str">
        <f t="shared" si="106"/>
        <v>Yes</v>
      </c>
      <c r="AI58" s="669">
        <f t="shared" si="6"/>
        <v>1</v>
      </c>
      <c r="AJ58" s="674">
        <f t="shared" si="107"/>
        <v>0.84950762533325208</v>
      </c>
      <c r="AK58" s="654">
        <f t="shared" si="108"/>
        <v>6.1666666666666703E-2</v>
      </c>
      <c r="AL58" s="654">
        <f t="shared" si="109"/>
        <v>1</v>
      </c>
      <c r="AM58" s="654">
        <f t="shared" si="110"/>
        <v>0</v>
      </c>
      <c r="AN58" s="654">
        <f t="shared" si="111"/>
        <v>1</v>
      </c>
      <c r="AO58" s="654" t="str">
        <f t="shared" si="112"/>
        <v>No</v>
      </c>
      <c r="AP58" s="655">
        <f t="shared" si="8"/>
        <v>0</v>
      </c>
    </row>
    <row r="59" spans="1:42" ht="15">
      <c r="A59" s="777" t="s">
        <v>114</v>
      </c>
      <c r="B59" s="643">
        <v>24</v>
      </c>
      <c r="C59" s="766">
        <v>42</v>
      </c>
      <c r="D59" s="659">
        <v>12.5</v>
      </c>
      <c r="E59" s="660">
        <v>0.793450661308575</v>
      </c>
      <c r="F59" s="661">
        <v>0.26900000000000002</v>
      </c>
      <c r="G59" s="688">
        <v>2</v>
      </c>
      <c r="H59" s="668">
        <f t="shared" si="87"/>
        <v>0.72731557798774293</v>
      </c>
      <c r="I59" s="651">
        <v>0.5</v>
      </c>
      <c r="J59" s="651">
        <f t="shared" si="88"/>
        <v>1</v>
      </c>
      <c r="K59" s="651">
        <f t="shared" si="89"/>
        <v>1</v>
      </c>
      <c r="L59" s="651">
        <f t="shared" si="90"/>
        <v>2</v>
      </c>
      <c r="M59" s="651" t="str">
        <f t="shared" si="91"/>
        <v>Yes</v>
      </c>
      <c r="N59" s="669">
        <f t="shared" si="0"/>
        <v>0</v>
      </c>
      <c r="O59" s="668">
        <f t="shared" si="92"/>
        <v>0.78011061313369678</v>
      </c>
      <c r="P59" s="651">
        <f t="shared" si="113"/>
        <v>0.3</v>
      </c>
      <c r="Q59" s="651">
        <f t="shared" si="93"/>
        <v>1</v>
      </c>
      <c r="R59" s="651">
        <f t="shared" si="94"/>
        <v>1</v>
      </c>
      <c r="S59" s="651">
        <f t="shared" si="95"/>
        <v>2</v>
      </c>
      <c r="T59" s="651" t="str">
        <f t="shared" si="96"/>
        <v>Yes</v>
      </c>
      <c r="U59" s="669">
        <f t="shared" si="2"/>
        <v>1</v>
      </c>
      <c r="V59" s="668">
        <f t="shared" si="97"/>
        <v>0.81030357796600871</v>
      </c>
      <c r="W59" s="651">
        <f t="shared" si="114"/>
        <v>0.2</v>
      </c>
      <c r="X59" s="651">
        <f t="shared" si="98"/>
        <v>0</v>
      </c>
      <c r="Y59" s="651">
        <f t="shared" si="99"/>
        <v>0</v>
      </c>
      <c r="Z59" s="651">
        <f t="shared" si="100"/>
        <v>0</v>
      </c>
      <c r="AA59" s="650" t="str">
        <f t="shared" si="101"/>
        <v>No</v>
      </c>
      <c r="AB59" s="669">
        <f t="shared" si="4"/>
        <v>0</v>
      </c>
      <c r="AC59" s="668">
        <f t="shared" si="102"/>
        <v>0.83182673374588623</v>
      </c>
      <c r="AD59" s="651">
        <f t="shared" si="115"/>
        <v>0.1</v>
      </c>
      <c r="AE59" s="651">
        <f t="shared" si="103"/>
        <v>0</v>
      </c>
      <c r="AF59" s="651">
        <f t="shared" si="104"/>
        <v>0</v>
      </c>
      <c r="AG59" s="651">
        <f t="shared" si="105"/>
        <v>0</v>
      </c>
      <c r="AH59" s="651" t="str">
        <f t="shared" si="106"/>
        <v>No</v>
      </c>
      <c r="AI59" s="669">
        <f t="shared" si="6"/>
        <v>0</v>
      </c>
      <c r="AJ59" s="674">
        <f t="shared" si="107"/>
        <v>0.85203256290035223</v>
      </c>
      <c r="AK59" s="654">
        <f t="shared" si="108"/>
        <v>6.1666666666666703E-2</v>
      </c>
      <c r="AL59" s="654">
        <f t="shared" si="109"/>
        <v>0</v>
      </c>
      <c r="AM59" s="654">
        <f t="shared" si="110"/>
        <v>0</v>
      </c>
      <c r="AN59" s="654">
        <f t="shared" si="111"/>
        <v>0</v>
      </c>
      <c r="AO59" s="654" t="str">
        <f t="shared" si="112"/>
        <v>No</v>
      </c>
      <c r="AP59" s="655">
        <f t="shared" si="8"/>
        <v>0</v>
      </c>
    </row>
    <row r="60" spans="1:42" ht="15">
      <c r="A60" s="777" t="s">
        <v>114</v>
      </c>
      <c r="B60" s="643">
        <v>24</v>
      </c>
      <c r="C60" s="766">
        <v>43</v>
      </c>
      <c r="D60" s="659">
        <v>12</v>
      </c>
      <c r="E60" s="660">
        <v>0.68069229278312893</v>
      </c>
      <c r="F60" s="661">
        <v>1.5740000000000001</v>
      </c>
      <c r="G60" s="688">
        <v>2</v>
      </c>
      <c r="H60" s="668">
        <f t="shared" si="87"/>
        <v>0.72364159848092002</v>
      </c>
      <c r="I60" s="651">
        <v>0.5</v>
      </c>
      <c r="J60" s="651">
        <f t="shared" si="88"/>
        <v>0</v>
      </c>
      <c r="K60" s="651">
        <f t="shared" si="89"/>
        <v>0</v>
      </c>
      <c r="L60" s="651">
        <f t="shared" si="90"/>
        <v>0</v>
      </c>
      <c r="M60" s="651" t="str">
        <f t="shared" si="91"/>
        <v>No</v>
      </c>
      <c r="N60" s="669">
        <f t="shared" si="0"/>
        <v>0</v>
      </c>
      <c r="O60" s="668">
        <f t="shared" si="92"/>
        <v>0.77755515627672889</v>
      </c>
      <c r="P60" s="651">
        <f t="shared" si="113"/>
        <v>0.3</v>
      </c>
      <c r="Q60" s="651">
        <f t="shared" si="93"/>
        <v>0</v>
      </c>
      <c r="R60" s="651">
        <f t="shared" si="94"/>
        <v>0</v>
      </c>
      <c r="S60" s="651">
        <f t="shared" si="95"/>
        <v>0</v>
      </c>
      <c r="T60" s="651" t="str">
        <f t="shared" si="96"/>
        <v>No</v>
      </c>
      <c r="U60" s="669">
        <f t="shared" si="2"/>
        <v>0</v>
      </c>
      <c r="V60" s="668">
        <f t="shared" si="97"/>
        <v>0.80799195615013886</v>
      </c>
      <c r="W60" s="651">
        <f t="shared" si="114"/>
        <v>0.2</v>
      </c>
      <c r="X60" s="651">
        <f t="shared" si="98"/>
        <v>0</v>
      </c>
      <c r="Y60" s="651">
        <f t="shared" si="99"/>
        <v>0</v>
      </c>
      <c r="Z60" s="651">
        <f t="shared" si="100"/>
        <v>0</v>
      </c>
      <c r="AA60" s="650" t="str">
        <f t="shared" si="101"/>
        <v>No</v>
      </c>
      <c r="AB60" s="669">
        <f t="shared" si="4"/>
        <v>0</v>
      </c>
      <c r="AC60" s="668">
        <f t="shared" si="102"/>
        <v>0.829628372134948</v>
      </c>
      <c r="AD60" s="651">
        <f t="shared" si="115"/>
        <v>0.1</v>
      </c>
      <c r="AE60" s="651">
        <f t="shared" si="103"/>
        <v>0</v>
      </c>
      <c r="AF60" s="651">
        <f t="shared" si="104"/>
        <v>0</v>
      </c>
      <c r="AG60" s="651">
        <f t="shared" si="105"/>
        <v>0</v>
      </c>
      <c r="AH60" s="651" t="str">
        <f t="shared" si="106"/>
        <v>No</v>
      </c>
      <c r="AI60" s="669">
        <f t="shared" si="6"/>
        <v>0</v>
      </c>
      <c r="AJ60" s="674">
        <f t="shared" si="107"/>
        <v>0.84950762533325208</v>
      </c>
      <c r="AK60" s="654">
        <f t="shared" si="108"/>
        <v>6.1666666666666703E-2</v>
      </c>
      <c r="AL60" s="654">
        <f t="shared" si="109"/>
        <v>0</v>
      </c>
      <c r="AM60" s="654">
        <f t="shared" si="110"/>
        <v>0</v>
      </c>
      <c r="AN60" s="654">
        <f t="shared" si="111"/>
        <v>0</v>
      </c>
      <c r="AO60" s="654" t="str">
        <f t="shared" si="112"/>
        <v>No</v>
      </c>
      <c r="AP60" s="655">
        <f t="shared" si="8"/>
        <v>0</v>
      </c>
    </row>
    <row r="61" spans="1:42" ht="15">
      <c r="A61" s="777" t="s">
        <v>114</v>
      </c>
      <c r="B61" s="643">
        <v>24</v>
      </c>
      <c r="C61" s="766">
        <v>44</v>
      </c>
      <c r="D61" s="659">
        <v>15</v>
      </c>
      <c r="E61" s="660">
        <v>0.75749053242060582</v>
      </c>
      <c r="F61" s="661">
        <v>0.27500000000000002</v>
      </c>
      <c r="G61" s="688">
        <v>2</v>
      </c>
      <c r="H61" s="668">
        <f t="shared" si="87"/>
        <v>0.74372451809919893</v>
      </c>
      <c r="I61" s="651">
        <v>0.5</v>
      </c>
      <c r="J61" s="651">
        <f t="shared" si="88"/>
        <v>1</v>
      </c>
      <c r="K61" s="651">
        <f t="shared" si="89"/>
        <v>1</v>
      </c>
      <c r="L61" s="651">
        <f t="shared" si="90"/>
        <v>2</v>
      </c>
      <c r="M61" s="651" t="str">
        <f t="shared" si="91"/>
        <v>Yes</v>
      </c>
      <c r="N61" s="669">
        <f t="shared" si="0"/>
        <v>1</v>
      </c>
      <c r="O61" s="668">
        <f t="shared" si="92"/>
        <v>0.79152394258899839</v>
      </c>
      <c r="P61" s="651">
        <f t="shared" si="113"/>
        <v>0.3</v>
      </c>
      <c r="Q61" s="651">
        <f t="shared" si="93"/>
        <v>0</v>
      </c>
      <c r="R61" s="651">
        <f t="shared" si="94"/>
        <v>1</v>
      </c>
      <c r="S61" s="651">
        <f t="shared" si="95"/>
        <v>1</v>
      </c>
      <c r="T61" s="651" t="str">
        <f t="shared" si="96"/>
        <v>No</v>
      </c>
      <c r="U61" s="669">
        <f t="shared" si="2"/>
        <v>0</v>
      </c>
      <c r="V61" s="668">
        <f t="shared" si="97"/>
        <v>0.82033431909726495</v>
      </c>
      <c r="W61" s="651">
        <f t="shared" si="114"/>
        <v>0.2</v>
      </c>
      <c r="X61" s="651">
        <f t="shared" si="98"/>
        <v>0</v>
      </c>
      <c r="Y61" s="651">
        <f t="shared" si="99"/>
        <v>0</v>
      </c>
      <c r="Z61" s="651">
        <f t="shared" si="100"/>
        <v>0</v>
      </c>
      <c r="AA61" s="650" t="str">
        <f t="shared" si="101"/>
        <v>No</v>
      </c>
      <c r="AB61" s="669">
        <f t="shared" si="4"/>
        <v>0</v>
      </c>
      <c r="AC61" s="668">
        <f t="shared" si="102"/>
        <v>0.84127156427825689</v>
      </c>
      <c r="AD61" s="651">
        <f t="shared" si="115"/>
        <v>0.1</v>
      </c>
      <c r="AE61" s="651">
        <f t="shared" si="103"/>
        <v>0</v>
      </c>
      <c r="AF61" s="651">
        <f t="shared" si="104"/>
        <v>0</v>
      </c>
      <c r="AG61" s="651">
        <f t="shared" si="105"/>
        <v>0</v>
      </c>
      <c r="AH61" s="651" t="str">
        <f t="shared" si="106"/>
        <v>No</v>
      </c>
      <c r="AI61" s="669">
        <f t="shared" si="6"/>
        <v>0</v>
      </c>
      <c r="AJ61" s="674">
        <f t="shared" si="107"/>
        <v>0.86293596588707466</v>
      </c>
      <c r="AK61" s="654">
        <f t="shared" si="108"/>
        <v>6.1666666666666703E-2</v>
      </c>
      <c r="AL61" s="654">
        <f t="shared" si="109"/>
        <v>0</v>
      </c>
      <c r="AM61" s="654">
        <f t="shared" si="110"/>
        <v>0</v>
      </c>
      <c r="AN61" s="654">
        <f t="shared" si="111"/>
        <v>0</v>
      </c>
      <c r="AO61" s="654" t="str">
        <f t="shared" si="112"/>
        <v>No</v>
      </c>
      <c r="AP61" s="655">
        <f t="shared" si="8"/>
        <v>0</v>
      </c>
    </row>
    <row r="62" spans="1:42" ht="15">
      <c r="A62" s="777" t="s">
        <v>114</v>
      </c>
      <c r="B62" s="643">
        <v>24</v>
      </c>
      <c r="C62" s="766">
        <v>45</v>
      </c>
      <c r="D62" s="659">
        <v>18</v>
      </c>
      <c r="E62" s="660">
        <v>0.8198447062851596</v>
      </c>
      <c r="F62" s="661">
        <v>0.191</v>
      </c>
      <c r="G62" s="688">
        <v>2</v>
      </c>
      <c r="H62" s="668">
        <f t="shared" si="87"/>
        <v>0.76013345821065481</v>
      </c>
      <c r="I62" s="651">
        <v>0.5</v>
      </c>
      <c r="J62" s="651">
        <f t="shared" si="88"/>
        <v>1</v>
      </c>
      <c r="K62" s="651">
        <f t="shared" si="89"/>
        <v>1</v>
      </c>
      <c r="L62" s="651">
        <f t="shared" si="90"/>
        <v>2</v>
      </c>
      <c r="M62" s="651" t="str">
        <f t="shared" si="91"/>
        <v>Yes</v>
      </c>
      <c r="N62" s="669">
        <f t="shared" si="0"/>
        <v>0</v>
      </c>
      <c r="O62" s="668">
        <f t="shared" si="92"/>
        <v>0.80293727204429988</v>
      </c>
      <c r="P62" s="651">
        <f t="shared" si="113"/>
        <v>0.3</v>
      </c>
      <c r="Q62" s="651">
        <f t="shared" si="93"/>
        <v>1</v>
      </c>
      <c r="R62" s="651">
        <f t="shared" si="94"/>
        <v>1</v>
      </c>
      <c r="S62" s="651">
        <f t="shared" si="95"/>
        <v>2</v>
      </c>
      <c r="T62" s="651" t="str">
        <f t="shared" si="96"/>
        <v>Yes</v>
      </c>
      <c r="U62" s="669">
        <f t="shared" si="2"/>
        <v>1</v>
      </c>
      <c r="V62" s="668">
        <f t="shared" si="97"/>
        <v>0.82981506022852114</v>
      </c>
      <c r="W62" s="651">
        <f t="shared" si="114"/>
        <v>0.2</v>
      </c>
      <c r="X62" s="651">
        <f t="shared" si="98"/>
        <v>0</v>
      </c>
      <c r="Y62" s="651">
        <f t="shared" si="99"/>
        <v>1</v>
      </c>
      <c r="Z62" s="651">
        <f t="shared" si="100"/>
        <v>1</v>
      </c>
      <c r="AA62" s="650" t="str">
        <f t="shared" si="101"/>
        <v>No</v>
      </c>
      <c r="AB62" s="669">
        <f t="shared" si="4"/>
        <v>0</v>
      </c>
      <c r="AC62" s="668">
        <f t="shared" si="102"/>
        <v>0.85001639481062774</v>
      </c>
      <c r="AD62" s="651">
        <f t="shared" si="115"/>
        <v>0.1</v>
      </c>
      <c r="AE62" s="651">
        <f t="shared" si="103"/>
        <v>0</v>
      </c>
      <c r="AF62" s="651">
        <f t="shared" si="104"/>
        <v>0</v>
      </c>
      <c r="AG62" s="651">
        <f t="shared" si="105"/>
        <v>0</v>
      </c>
      <c r="AH62" s="651" t="str">
        <f t="shared" si="106"/>
        <v>No</v>
      </c>
      <c r="AI62" s="669">
        <f t="shared" si="6"/>
        <v>0</v>
      </c>
      <c r="AJ62" s="674">
        <f t="shared" si="107"/>
        <v>0.87313936887379706</v>
      </c>
      <c r="AK62" s="654">
        <f t="shared" si="108"/>
        <v>6.1666666666666703E-2</v>
      </c>
      <c r="AL62" s="654">
        <f t="shared" si="109"/>
        <v>0</v>
      </c>
      <c r="AM62" s="654">
        <f t="shared" si="110"/>
        <v>0</v>
      </c>
      <c r="AN62" s="654">
        <f t="shared" si="111"/>
        <v>0</v>
      </c>
      <c r="AO62" s="654" t="str">
        <f t="shared" si="112"/>
        <v>No</v>
      </c>
      <c r="AP62" s="655">
        <f t="shared" si="8"/>
        <v>0</v>
      </c>
    </row>
    <row r="63" spans="1:42" ht="15">
      <c r="A63" s="777" t="s">
        <v>114</v>
      </c>
      <c r="B63" s="643">
        <v>24</v>
      </c>
      <c r="C63" s="766">
        <v>112</v>
      </c>
      <c r="D63" s="659">
        <v>18</v>
      </c>
      <c r="E63" s="660">
        <v>0.83550352927526383</v>
      </c>
      <c r="F63" s="661">
        <v>0.26169999999999999</v>
      </c>
      <c r="G63" s="688">
        <v>2</v>
      </c>
      <c r="H63" s="668">
        <f t="shared" si="87"/>
        <v>0.76013345821065481</v>
      </c>
      <c r="I63" s="651">
        <v>0.5</v>
      </c>
      <c r="J63" s="651">
        <f t="shared" si="88"/>
        <v>1</v>
      </c>
      <c r="K63" s="651">
        <f t="shared" si="89"/>
        <v>1</v>
      </c>
      <c r="L63" s="651">
        <f t="shared" si="90"/>
        <v>2</v>
      </c>
      <c r="M63" s="651" t="str">
        <f t="shared" si="91"/>
        <v>Yes</v>
      </c>
      <c r="N63" s="669">
        <f t="shared" si="0"/>
        <v>0</v>
      </c>
      <c r="O63" s="668">
        <f t="shared" si="92"/>
        <v>0.80293727204429988</v>
      </c>
      <c r="P63" s="651">
        <f t="shared" si="113"/>
        <v>0.3</v>
      </c>
      <c r="Q63" s="651">
        <f t="shared" si="93"/>
        <v>1</v>
      </c>
      <c r="R63" s="651">
        <f t="shared" si="94"/>
        <v>1</v>
      </c>
      <c r="S63" s="651">
        <f t="shared" si="95"/>
        <v>2</v>
      </c>
      <c r="T63" s="651" t="str">
        <f t="shared" si="96"/>
        <v>Yes</v>
      </c>
      <c r="U63" s="669">
        <f t="shared" si="2"/>
        <v>1</v>
      </c>
      <c r="V63" s="668">
        <f t="shared" si="97"/>
        <v>0.82981506022852114</v>
      </c>
      <c r="W63" s="651">
        <f t="shared" si="114"/>
        <v>0.2</v>
      </c>
      <c r="X63" s="651">
        <f t="shared" si="98"/>
        <v>1</v>
      </c>
      <c r="Y63" s="651">
        <f t="shared" si="99"/>
        <v>0</v>
      </c>
      <c r="Z63" s="651">
        <f t="shared" si="100"/>
        <v>1</v>
      </c>
      <c r="AA63" s="650" t="str">
        <f t="shared" si="101"/>
        <v>No</v>
      </c>
      <c r="AB63" s="669">
        <f t="shared" si="4"/>
        <v>0</v>
      </c>
      <c r="AC63" s="668">
        <f t="shared" si="102"/>
        <v>0.85001639481062774</v>
      </c>
      <c r="AD63" s="651">
        <f t="shared" si="115"/>
        <v>0.1</v>
      </c>
      <c r="AE63" s="651">
        <f t="shared" si="103"/>
        <v>0</v>
      </c>
      <c r="AF63" s="651">
        <f t="shared" si="104"/>
        <v>0</v>
      </c>
      <c r="AG63" s="651">
        <f t="shared" si="105"/>
        <v>0</v>
      </c>
      <c r="AH63" s="651" t="str">
        <f t="shared" si="106"/>
        <v>No</v>
      </c>
      <c r="AI63" s="669">
        <f t="shared" si="6"/>
        <v>0</v>
      </c>
      <c r="AJ63" s="674">
        <f t="shared" si="107"/>
        <v>0.87313936887379706</v>
      </c>
      <c r="AK63" s="654">
        <f t="shared" si="108"/>
        <v>6.1666666666666703E-2</v>
      </c>
      <c r="AL63" s="654">
        <f t="shared" si="109"/>
        <v>0</v>
      </c>
      <c r="AM63" s="654">
        <f t="shared" si="110"/>
        <v>0</v>
      </c>
      <c r="AN63" s="654">
        <f t="shared" si="111"/>
        <v>0</v>
      </c>
      <c r="AO63" s="654" t="str">
        <f t="shared" si="112"/>
        <v>No</v>
      </c>
      <c r="AP63" s="655">
        <f t="shared" si="8"/>
        <v>0</v>
      </c>
    </row>
    <row r="64" spans="1:42" ht="15">
      <c r="A64" s="778" t="s">
        <v>114</v>
      </c>
      <c r="B64" s="644">
        <v>24</v>
      </c>
      <c r="C64" s="767">
        <v>113</v>
      </c>
      <c r="D64" s="665">
        <v>18</v>
      </c>
      <c r="E64" s="687">
        <v>0.84027974747967082</v>
      </c>
      <c r="F64" s="667">
        <v>0.12809999999999999</v>
      </c>
      <c r="G64" s="720">
        <v>2</v>
      </c>
      <c r="H64" s="672">
        <f t="shared" si="87"/>
        <v>0.76013345821065481</v>
      </c>
      <c r="I64" s="653">
        <v>0.5</v>
      </c>
      <c r="J64" s="653">
        <f t="shared" si="88"/>
        <v>1</v>
      </c>
      <c r="K64" s="653">
        <f t="shared" si="89"/>
        <v>1</v>
      </c>
      <c r="L64" s="653">
        <f t="shared" si="90"/>
        <v>2</v>
      </c>
      <c r="M64" s="653" t="str">
        <f t="shared" si="91"/>
        <v>Yes</v>
      </c>
      <c r="N64" s="673">
        <f t="shared" si="0"/>
        <v>0</v>
      </c>
      <c r="O64" s="672">
        <f t="shared" si="92"/>
        <v>0.80293727204429988</v>
      </c>
      <c r="P64" s="653">
        <f t="shared" si="113"/>
        <v>0.3</v>
      </c>
      <c r="Q64" s="653">
        <f t="shared" si="93"/>
        <v>1</v>
      </c>
      <c r="R64" s="653">
        <f t="shared" si="94"/>
        <v>1</v>
      </c>
      <c r="S64" s="653">
        <f t="shared" si="95"/>
        <v>2</v>
      </c>
      <c r="T64" s="653" t="str">
        <f t="shared" si="96"/>
        <v>Yes</v>
      </c>
      <c r="U64" s="673">
        <f t="shared" si="2"/>
        <v>0</v>
      </c>
      <c r="V64" s="672">
        <f t="shared" si="97"/>
        <v>0.82981506022852114</v>
      </c>
      <c r="W64" s="653">
        <f t="shared" si="114"/>
        <v>0.2</v>
      </c>
      <c r="X64" s="653">
        <f t="shared" si="98"/>
        <v>1</v>
      </c>
      <c r="Y64" s="653">
        <f t="shared" si="99"/>
        <v>1</v>
      </c>
      <c r="Z64" s="653">
        <f t="shared" si="100"/>
        <v>2</v>
      </c>
      <c r="AA64" s="652" t="str">
        <f t="shared" si="101"/>
        <v>Yes</v>
      </c>
      <c r="AB64" s="673">
        <f t="shared" si="4"/>
        <v>1</v>
      </c>
      <c r="AC64" s="672">
        <f t="shared" si="102"/>
        <v>0.85001639481062774</v>
      </c>
      <c r="AD64" s="653">
        <f t="shared" si="115"/>
        <v>0.1</v>
      </c>
      <c r="AE64" s="653">
        <f t="shared" si="103"/>
        <v>0</v>
      </c>
      <c r="AF64" s="653">
        <f t="shared" si="104"/>
        <v>0</v>
      </c>
      <c r="AG64" s="653">
        <f t="shared" si="105"/>
        <v>0</v>
      </c>
      <c r="AH64" s="653" t="str">
        <f t="shared" si="106"/>
        <v>No</v>
      </c>
      <c r="AI64" s="673">
        <f t="shared" si="6"/>
        <v>0</v>
      </c>
      <c r="AJ64" s="677">
        <f t="shared" si="107"/>
        <v>0.87313936887379706</v>
      </c>
      <c r="AK64" s="657">
        <f t="shared" si="108"/>
        <v>6.1666666666666703E-2</v>
      </c>
      <c r="AL64" s="657">
        <f t="shared" si="109"/>
        <v>0</v>
      </c>
      <c r="AM64" s="657">
        <f t="shared" si="110"/>
        <v>0</v>
      </c>
      <c r="AN64" s="657">
        <f t="shared" si="111"/>
        <v>0</v>
      </c>
      <c r="AO64" s="657" t="str">
        <f t="shared" si="112"/>
        <v>No</v>
      </c>
      <c r="AP64" s="658">
        <f t="shared" si="8"/>
        <v>0</v>
      </c>
    </row>
    <row r="65" spans="1:42" ht="15">
      <c r="A65" s="777" t="s">
        <v>119</v>
      </c>
      <c r="B65" s="643">
        <v>29</v>
      </c>
      <c r="C65" s="766">
        <v>20</v>
      </c>
      <c r="D65" s="659">
        <v>5</v>
      </c>
      <c r="E65" s="660">
        <v>0.73757658670832638</v>
      </c>
      <c r="F65" s="661">
        <v>0.2</v>
      </c>
      <c r="G65" s="688">
        <v>1</v>
      </c>
      <c r="H65" s="668">
        <f t="shared" ref="H65:H88" si="116">IF($D65&lt;=1,0.5*$D65,IF($D65&lt;=51,0.09*LN($D65)+0.5,0.85))</f>
        <v>0.64484941211906899</v>
      </c>
      <c r="I65" s="651">
        <v>0.5</v>
      </c>
      <c r="J65" s="651">
        <f t="shared" ref="J65:J88" si="117">IF($E65&gt;H65,1,0)</f>
        <v>1</v>
      </c>
      <c r="K65" s="651">
        <f t="shared" ref="K65:K88" si="118">IF(I65&gt;$F65,1,0)</f>
        <v>1</v>
      </c>
      <c r="L65" s="651">
        <f t="shared" ref="L65:L88" si="119">SUM(J65:K65)</f>
        <v>2</v>
      </c>
      <c r="M65" s="651" t="str">
        <f t="shared" ref="M65:M88" si="120">IF(L65=2,"Yes","No")</f>
        <v>Yes</v>
      </c>
      <c r="N65" s="670">
        <f t="shared" si="0"/>
        <v>0</v>
      </c>
      <c r="O65" s="668">
        <f t="shared" ref="O65:O88" si="121">IF($D65&lt;=1,0.48*$D65+0.14,IF($D65&lt;=49,0.0626*LN($D65)+0.622,0.87))</f>
        <v>0.72275081331837465</v>
      </c>
      <c r="P65" s="651">
        <f t="shared" si="113"/>
        <v>0.3</v>
      </c>
      <c r="Q65" s="651">
        <f t="shared" ref="Q65:Q88" si="122">IF($E65&gt;O65,1,0)</f>
        <v>1</v>
      </c>
      <c r="R65" s="651">
        <f t="shared" ref="R65:R88" si="123">IF(P65&gt;$F65,1,0)</f>
        <v>1</v>
      </c>
      <c r="S65" s="651">
        <f t="shared" ref="S65:S88" si="124">SUM(Q65:R65)</f>
        <v>2</v>
      </c>
      <c r="T65" s="651" t="str">
        <f t="shared" ref="T65:T88" si="125">IF(S65=2,"Yes","No")</f>
        <v>Yes</v>
      </c>
      <c r="U65" s="669">
        <f t="shared" si="2"/>
        <v>1</v>
      </c>
      <c r="V65" s="668">
        <f t="shared" ref="V65:V88" si="126">IF($D65&lt;=1,0.49*$D65+0.15,IF($D65&lt;=49,0.0701*LN($D65)-0.0011*$D65+0.647,0.87))</f>
        <v>0.75432159766163043</v>
      </c>
      <c r="W65" s="651">
        <f t="shared" si="114"/>
        <v>0.2</v>
      </c>
      <c r="X65" s="651">
        <f t="shared" ref="X65:X88" si="127">IF($E65&gt;V65,1,0)</f>
        <v>0</v>
      </c>
      <c r="Y65" s="651">
        <f t="shared" ref="Y65:Y88" si="128">IF(W65&gt;$F65,1,0)</f>
        <v>0</v>
      </c>
      <c r="Z65" s="651">
        <f t="shared" ref="Z65:Z88" si="129">SUM(X65:Y65)</f>
        <v>0</v>
      </c>
      <c r="AA65" s="650" t="str">
        <f t="shared" ref="AA65:AA88" si="130">IF(Z65=2,"Yes","No")</f>
        <v>No</v>
      </c>
      <c r="AB65" s="669">
        <f t="shared" si="4"/>
        <v>0</v>
      </c>
      <c r="AC65" s="668">
        <f t="shared" ref="AC65:AC88" si="131">IF($D65&lt;=1,0.5*$D65+0.16,IF($D65&lt;=49,0.071*LN($D65)-0.0014*$D65+0.67,0.879779149034727))</f>
        <v>0.77727009178282114</v>
      </c>
      <c r="AD65" s="651">
        <f t="shared" si="115"/>
        <v>0.1</v>
      </c>
      <c r="AE65" s="651">
        <f t="shared" ref="AE65:AE88" si="132">IF($E65&gt;AC65,1,0)</f>
        <v>0</v>
      </c>
      <c r="AF65" s="651">
        <f t="shared" ref="AF65:AF88" si="133">IF(AD65&gt;$F65,1,0)</f>
        <v>0</v>
      </c>
      <c r="AG65" s="651">
        <f t="shared" ref="AG65:AG88" si="134">SUM(AE65:AF65)</f>
        <v>0</v>
      </c>
      <c r="AH65" s="651" t="str">
        <f t="shared" ref="AH65:AH88" si="135">IF(AG65=2,"Yes","No")</f>
        <v>No</v>
      </c>
      <c r="AI65" s="669">
        <f t="shared" si="6"/>
        <v>0</v>
      </c>
      <c r="AJ65" s="675">
        <f t="shared" ref="AJ65:AJ88" si="136">IF($D65&lt;=1,0.52*$D65+0.17,IF($D65&lt;=49,0.079*LN($D65)-0.0014*$D65+0.67,0.9104))</f>
        <v>0.79014559508229398</v>
      </c>
      <c r="AK65" s="654">
        <f t="shared" ref="AK65:AK88" si="137">IF($D65&lt;49,0.0616666666666667,0.165)</f>
        <v>6.1666666666666703E-2</v>
      </c>
      <c r="AL65" s="656">
        <f t="shared" ref="AL65:AL88" si="138">IF($E65&gt;AJ65,1,0)</f>
        <v>0</v>
      </c>
      <c r="AM65" s="656">
        <f t="shared" ref="AM65:AM88" si="139">IF(AK65&gt;$F65,1,0)</f>
        <v>0</v>
      </c>
      <c r="AN65" s="656">
        <f t="shared" ref="AN65:AN88" si="140">SUM(AL65:AM65)</f>
        <v>0</v>
      </c>
      <c r="AO65" s="656" t="str">
        <f t="shared" ref="AO65:AO88" si="141">IF(AN65=2,"Yes","No")</f>
        <v>No</v>
      </c>
      <c r="AP65" s="676">
        <f t="shared" si="8"/>
        <v>0</v>
      </c>
    </row>
    <row r="66" spans="1:42" ht="15">
      <c r="A66" s="777" t="s">
        <v>119</v>
      </c>
      <c r="B66" s="643">
        <v>29</v>
      </c>
      <c r="C66" s="766">
        <v>21</v>
      </c>
      <c r="D66" s="659">
        <v>3.5699999999999994</v>
      </c>
      <c r="E66" s="660">
        <v>0.64163206049465238</v>
      </c>
      <c r="F66" s="661">
        <v>7.0000000000000007E-2</v>
      </c>
      <c r="G66" s="688">
        <v>1</v>
      </c>
      <c r="H66" s="668">
        <f t="shared" si="116"/>
        <v>0.6145309036212393</v>
      </c>
      <c r="I66" s="651">
        <v>0.5</v>
      </c>
      <c r="J66" s="651">
        <f t="shared" si="117"/>
        <v>1</v>
      </c>
      <c r="K66" s="651">
        <f t="shared" si="118"/>
        <v>1</v>
      </c>
      <c r="L66" s="651">
        <f t="shared" si="119"/>
        <v>2</v>
      </c>
      <c r="M66" s="651" t="str">
        <f t="shared" si="120"/>
        <v>Yes</v>
      </c>
      <c r="N66" s="670">
        <f t="shared" si="0"/>
        <v>1</v>
      </c>
      <c r="O66" s="668">
        <f t="shared" si="121"/>
        <v>0.70166260629655086</v>
      </c>
      <c r="P66" s="651">
        <f t="shared" si="113"/>
        <v>0.3</v>
      </c>
      <c r="Q66" s="651">
        <f t="shared" si="122"/>
        <v>0</v>
      </c>
      <c r="R66" s="651">
        <f t="shared" si="123"/>
        <v>1</v>
      </c>
      <c r="S66" s="651">
        <f t="shared" si="124"/>
        <v>1</v>
      </c>
      <c r="T66" s="651" t="str">
        <f t="shared" si="125"/>
        <v>No</v>
      </c>
      <c r="U66" s="669">
        <f t="shared" si="2"/>
        <v>0</v>
      </c>
      <c r="V66" s="668">
        <f t="shared" si="126"/>
        <v>0.73227984826498749</v>
      </c>
      <c r="W66" s="651">
        <f t="shared" si="114"/>
        <v>0.2</v>
      </c>
      <c r="X66" s="651">
        <f t="shared" si="127"/>
        <v>0</v>
      </c>
      <c r="Y66" s="651">
        <f t="shared" si="128"/>
        <v>1</v>
      </c>
      <c r="Z66" s="651">
        <f t="shared" si="129"/>
        <v>1</v>
      </c>
      <c r="AA66" s="650" t="str">
        <f t="shared" si="130"/>
        <v>No</v>
      </c>
      <c r="AB66" s="669">
        <f t="shared" si="4"/>
        <v>0</v>
      </c>
      <c r="AC66" s="668">
        <f t="shared" si="131"/>
        <v>0.75535415730119992</v>
      </c>
      <c r="AD66" s="651">
        <f t="shared" si="115"/>
        <v>0.1</v>
      </c>
      <c r="AE66" s="651">
        <f t="shared" si="132"/>
        <v>0</v>
      </c>
      <c r="AF66" s="651">
        <f t="shared" si="133"/>
        <v>1</v>
      </c>
      <c r="AG66" s="651">
        <f t="shared" si="134"/>
        <v>1</v>
      </c>
      <c r="AH66" s="651" t="str">
        <f t="shared" si="135"/>
        <v>No</v>
      </c>
      <c r="AI66" s="669">
        <f t="shared" si="6"/>
        <v>0</v>
      </c>
      <c r="AJ66" s="675">
        <f t="shared" si="136"/>
        <v>0.76553468206753228</v>
      </c>
      <c r="AK66" s="654">
        <f t="shared" si="137"/>
        <v>6.1666666666666703E-2</v>
      </c>
      <c r="AL66" s="656">
        <f t="shared" si="138"/>
        <v>0</v>
      </c>
      <c r="AM66" s="656">
        <f t="shared" si="139"/>
        <v>0</v>
      </c>
      <c r="AN66" s="656">
        <f t="shared" si="140"/>
        <v>0</v>
      </c>
      <c r="AO66" s="656" t="str">
        <f t="shared" si="141"/>
        <v>No</v>
      </c>
      <c r="AP66" s="676">
        <f t="shared" si="8"/>
        <v>0</v>
      </c>
    </row>
    <row r="67" spans="1:42" ht="15">
      <c r="A67" s="777" t="s">
        <v>119</v>
      </c>
      <c r="B67" s="643">
        <v>29</v>
      </c>
      <c r="C67" s="766">
        <v>22</v>
      </c>
      <c r="D67" s="659">
        <v>3.5699999999999994</v>
      </c>
      <c r="E67" s="660">
        <v>0.65110141041686698</v>
      </c>
      <c r="F67" s="661">
        <v>6.5000000000000002E-2</v>
      </c>
      <c r="G67" s="688">
        <v>1</v>
      </c>
      <c r="H67" s="668">
        <f t="shared" si="116"/>
        <v>0.6145309036212393</v>
      </c>
      <c r="I67" s="651">
        <v>0.5</v>
      </c>
      <c r="J67" s="651">
        <f t="shared" si="117"/>
        <v>1</v>
      </c>
      <c r="K67" s="651">
        <f t="shared" si="118"/>
        <v>1</v>
      </c>
      <c r="L67" s="651">
        <f t="shared" si="119"/>
        <v>2</v>
      </c>
      <c r="M67" s="651" t="str">
        <f t="shared" si="120"/>
        <v>Yes</v>
      </c>
      <c r="N67" s="670">
        <f t="shared" si="0"/>
        <v>1</v>
      </c>
      <c r="O67" s="668">
        <f t="shared" si="121"/>
        <v>0.70166260629655086</v>
      </c>
      <c r="P67" s="651">
        <f t="shared" si="113"/>
        <v>0.3</v>
      </c>
      <c r="Q67" s="651">
        <f t="shared" si="122"/>
        <v>0</v>
      </c>
      <c r="R67" s="651">
        <f t="shared" si="123"/>
        <v>1</v>
      </c>
      <c r="S67" s="651">
        <f t="shared" si="124"/>
        <v>1</v>
      </c>
      <c r="T67" s="651" t="str">
        <f t="shared" si="125"/>
        <v>No</v>
      </c>
      <c r="U67" s="669">
        <f t="shared" si="2"/>
        <v>0</v>
      </c>
      <c r="V67" s="668">
        <f t="shared" si="126"/>
        <v>0.73227984826498749</v>
      </c>
      <c r="W67" s="651">
        <f t="shared" si="114"/>
        <v>0.2</v>
      </c>
      <c r="X67" s="651">
        <f t="shared" si="127"/>
        <v>0</v>
      </c>
      <c r="Y67" s="651">
        <f t="shared" si="128"/>
        <v>1</v>
      </c>
      <c r="Z67" s="651">
        <f t="shared" si="129"/>
        <v>1</v>
      </c>
      <c r="AA67" s="650" t="str">
        <f t="shared" si="130"/>
        <v>No</v>
      </c>
      <c r="AB67" s="669">
        <f t="shared" si="4"/>
        <v>0</v>
      </c>
      <c r="AC67" s="668">
        <f t="shared" si="131"/>
        <v>0.75535415730119992</v>
      </c>
      <c r="AD67" s="651">
        <f t="shared" si="115"/>
        <v>0.1</v>
      </c>
      <c r="AE67" s="651">
        <f t="shared" si="132"/>
        <v>0</v>
      </c>
      <c r="AF67" s="651">
        <f t="shared" si="133"/>
        <v>1</v>
      </c>
      <c r="AG67" s="651">
        <f t="shared" si="134"/>
        <v>1</v>
      </c>
      <c r="AH67" s="651" t="str">
        <f t="shared" si="135"/>
        <v>No</v>
      </c>
      <c r="AI67" s="669">
        <f t="shared" si="6"/>
        <v>0</v>
      </c>
      <c r="AJ67" s="675">
        <f t="shared" si="136"/>
        <v>0.76553468206753228</v>
      </c>
      <c r="AK67" s="654">
        <f t="shared" si="137"/>
        <v>6.1666666666666703E-2</v>
      </c>
      <c r="AL67" s="656">
        <f t="shared" si="138"/>
        <v>0</v>
      </c>
      <c r="AM67" s="656">
        <f t="shared" si="139"/>
        <v>0</v>
      </c>
      <c r="AN67" s="656">
        <f t="shared" si="140"/>
        <v>0</v>
      </c>
      <c r="AO67" s="656" t="str">
        <f t="shared" si="141"/>
        <v>No</v>
      </c>
      <c r="AP67" s="676">
        <f t="shared" si="8"/>
        <v>0</v>
      </c>
    </row>
    <row r="68" spans="1:42" ht="15">
      <c r="A68" s="777" t="s">
        <v>119</v>
      </c>
      <c r="B68" s="643">
        <v>29</v>
      </c>
      <c r="C68" s="766">
        <v>23</v>
      </c>
      <c r="D68" s="659">
        <v>4.25</v>
      </c>
      <c r="E68" s="660">
        <v>0.3597613476366075</v>
      </c>
      <c r="F68" s="661">
        <v>7.0000000000000007E-2</v>
      </c>
      <c r="G68" s="688">
        <v>1</v>
      </c>
      <c r="H68" s="668">
        <f t="shared" si="116"/>
        <v>0.63022270846426931</v>
      </c>
      <c r="I68" s="651">
        <v>0.5</v>
      </c>
      <c r="J68" s="651">
        <f t="shared" si="117"/>
        <v>0</v>
      </c>
      <c r="K68" s="651">
        <f t="shared" si="118"/>
        <v>1</v>
      </c>
      <c r="L68" s="651">
        <f t="shared" si="119"/>
        <v>1</v>
      </c>
      <c r="M68" s="651" t="str">
        <f t="shared" si="120"/>
        <v>No</v>
      </c>
      <c r="N68" s="670">
        <f t="shared" ref="N68:N81" si="142">IF(T68="yes",0,IF(M68="yes",1,0))</f>
        <v>0</v>
      </c>
      <c r="O68" s="668">
        <f t="shared" si="121"/>
        <v>0.71257712833181397</v>
      </c>
      <c r="P68" s="651">
        <f t="shared" si="113"/>
        <v>0.3</v>
      </c>
      <c r="Q68" s="651">
        <f t="shared" si="122"/>
        <v>0</v>
      </c>
      <c r="R68" s="651">
        <f t="shared" si="123"/>
        <v>1</v>
      </c>
      <c r="S68" s="651">
        <f t="shared" si="124"/>
        <v>1</v>
      </c>
      <c r="T68" s="651" t="str">
        <f t="shared" si="125"/>
        <v>No</v>
      </c>
      <c r="U68" s="669">
        <f t="shared" si="2"/>
        <v>0</v>
      </c>
      <c r="V68" s="668">
        <f t="shared" si="126"/>
        <v>0.74375402070383645</v>
      </c>
      <c r="W68" s="651">
        <f t="shared" si="114"/>
        <v>0.2</v>
      </c>
      <c r="X68" s="651">
        <f t="shared" si="127"/>
        <v>0</v>
      </c>
      <c r="Y68" s="651">
        <f t="shared" si="128"/>
        <v>1</v>
      </c>
      <c r="Z68" s="651">
        <f t="shared" si="129"/>
        <v>1</v>
      </c>
      <c r="AA68" s="650" t="str">
        <f t="shared" si="130"/>
        <v>No</v>
      </c>
      <c r="AB68" s="669">
        <f t="shared" si="4"/>
        <v>0</v>
      </c>
      <c r="AC68" s="668">
        <f t="shared" si="131"/>
        <v>0.76678124778847911</v>
      </c>
      <c r="AD68" s="651">
        <f t="shared" si="115"/>
        <v>0.1</v>
      </c>
      <c r="AE68" s="651">
        <f t="shared" si="132"/>
        <v>0</v>
      </c>
      <c r="AF68" s="651">
        <f t="shared" si="133"/>
        <v>1</v>
      </c>
      <c r="AG68" s="651">
        <f t="shared" si="134"/>
        <v>1</v>
      </c>
      <c r="AH68" s="651" t="str">
        <f t="shared" si="135"/>
        <v>No</v>
      </c>
      <c r="AI68" s="669">
        <f t="shared" si="6"/>
        <v>0</v>
      </c>
      <c r="AJ68" s="675">
        <f t="shared" si="136"/>
        <v>0.77835659965196979</v>
      </c>
      <c r="AK68" s="654">
        <f t="shared" si="137"/>
        <v>6.1666666666666703E-2</v>
      </c>
      <c r="AL68" s="656">
        <f t="shared" si="138"/>
        <v>0</v>
      </c>
      <c r="AM68" s="656">
        <f t="shared" si="139"/>
        <v>0</v>
      </c>
      <c r="AN68" s="656">
        <f t="shared" si="140"/>
        <v>0</v>
      </c>
      <c r="AO68" s="656" t="str">
        <f t="shared" si="141"/>
        <v>No</v>
      </c>
      <c r="AP68" s="676">
        <f t="shared" si="8"/>
        <v>0</v>
      </c>
    </row>
    <row r="69" spans="1:42" ht="15">
      <c r="A69" s="777" t="s">
        <v>119</v>
      </c>
      <c r="B69" s="643">
        <v>29</v>
      </c>
      <c r="C69" s="766">
        <v>24</v>
      </c>
      <c r="D69" s="659">
        <v>2.75</v>
      </c>
      <c r="E69" s="660">
        <v>0.63644149624678492</v>
      </c>
      <c r="F69" s="661">
        <v>6.4000000000000001E-2</v>
      </c>
      <c r="G69" s="688">
        <v>1</v>
      </c>
      <c r="H69" s="668">
        <f t="shared" si="116"/>
        <v>0.59104408205106318</v>
      </c>
      <c r="I69" s="651">
        <v>0.5</v>
      </c>
      <c r="J69" s="651">
        <f t="shared" si="117"/>
        <v>1</v>
      </c>
      <c r="K69" s="651">
        <f t="shared" si="118"/>
        <v>1</v>
      </c>
      <c r="L69" s="651">
        <f t="shared" si="119"/>
        <v>2</v>
      </c>
      <c r="M69" s="651" t="str">
        <f t="shared" si="120"/>
        <v>Yes</v>
      </c>
      <c r="N69" s="670">
        <f t="shared" si="142"/>
        <v>1</v>
      </c>
      <c r="O69" s="668">
        <f t="shared" si="121"/>
        <v>0.68532621707107289</v>
      </c>
      <c r="P69" s="651">
        <f t="shared" si="113"/>
        <v>0.3</v>
      </c>
      <c r="Q69" s="651">
        <f t="shared" si="122"/>
        <v>0</v>
      </c>
      <c r="R69" s="651">
        <f t="shared" si="123"/>
        <v>1</v>
      </c>
      <c r="S69" s="651">
        <f t="shared" si="124"/>
        <v>1</v>
      </c>
      <c r="T69" s="651" t="str">
        <f t="shared" si="125"/>
        <v>No</v>
      </c>
      <c r="U69" s="669">
        <f t="shared" ref="U69:U119" si="143">IF(AA69="yes",0,IF(T69="yes",1,0))</f>
        <v>0</v>
      </c>
      <c r="V69" s="668">
        <f t="shared" si="126"/>
        <v>0.71488822390866147</v>
      </c>
      <c r="W69" s="651">
        <f t="shared" si="114"/>
        <v>0.2</v>
      </c>
      <c r="X69" s="651">
        <f t="shared" si="127"/>
        <v>0</v>
      </c>
      <c r="Y69" s="651">
        <f t="shared" si="128"/>
        <v>1</v>
      </c>
      <c r="Z69" s="651">
        <f t="shared" si="129"/>
        <v>1</v>
      </c>
      <c r="AA69" s="650" t="str">
        <f t="shared" si="130"/>
        <v>No</v>
      </c>
      <c r="AB69" s="669">
        <f t="shared" ref="AB69:AB119" si="144">IF(AH69="yes",0,IF(AA69="yes",1,0))</f>
        <v>0</v>
      </c>
      <c r="AC69" s="668">
        <f t="shared" si="131"/>
        <v>0.73797366472917214</v>
      </c>
      <c r="AD69" s="651">
        <f t="shared" si="115"/>
        <v>0.1</v>
      </c>
      <c r="AE69" s="651">
        <f t="shared" si="132"/>
        <v>0</v>
      </c>
      <c r="AF69" s="651">
        <f t="shared" si="133"/>
        <v>1</v>
      </c>
      <c r="AG69" s="651">
        <f t="shared" si="134"/>
        <v>1</v>
      </c>
      <c r="AH69" s="651" t="str">
        <f t="shared" si="135"/>
        <v>No</v>
      </c>
      <c r="AI69" s="669">
        <f t="shared" ref="AI69:AI119" si="145">IF(AO69="yes",0,IF(AH69="yes",1,0))</f>
        <v>0</v>
      </c>
      <c r="AJ69" s="675">
        <f t="shared" si="136"/>
        <v>0.7460664720225999</v>
      </c>
      <c r="AK69" s="654">
        <f t="shared" si="137"/>
        <v>6.1666666666666703E-2</v>
      </c>
      <c r="AL69" s="656">
        <f t="shared" si="138"/>
        <v>0</v>
      </c>
      <c r="AM69" s="656">
        <f t="shared" si="139"/>
        <v>0</v>
      </c>
      <c r="AN69" s="656">
        <f t="shared" si="140"/>
        <v>0</v>
      </c>
      <c r="AO69" s="656" t="str">
        <f t="shared" si="141"/>
        <v>No</v>
      </c>
      <c r="AP69" s="676">
        <f t="shared" ref="AP69:AP119" si="146">IF(AO69="yes",1,0)</f>
        <v>0</v>
      </c>
    </row>
    <row r="70" spans="1:42" ht="15">
      <c r="A70" s="777" t="s">
        <v>119</v>
      </c>
      <c r="B70" s="643">
        <v>29</v>
      </c>
      <c r="C70" s="766">
        <v>25</v>
      </c>
      <c r="D70" s="659">
        <v>5.5</v>
      </c>
      <c r="E70" s="660">
        <v>0.53481382985816628</v>
      </c>
      <c r="F70" s="661">
        <v>0.51400000000000001</v>
      </c>
      <c r="G70" s="688">
        <v>1</v>
      </c>
      <c r="H70" s="668">
        <f t="shared" si="116"/>
        <v>0.65342732830145822</v>
      </c>
      <c r="I70" s="651">
        <v>0.5</v>
      </c>
      <c r="J70" s="651">
        <f t="shared" si="117"/>
        <v>0</v>
      </c>
      <c r="K70" s="651">
        <f t="shared" si="118"/>
        <v>0</v>
      </c>
      <c r="L70" s="651">
        <f t="shared" si="119"/>
        <v>0</v>
      </c>
      <c r="M70" s="651" t="str">
        <f t="shared" si="120"/>
        <v>No</v>
      </c>
      <c r="N70" s="670">
        <f t="shared" si="142"/>
        <v>0</v>
      </c>
      <c r="O70" s="668">
        <f t="shared" si="121"/>
        <v>0.72871723057412541</v>
      </c>
      <c r="P70" s="651">
        <f t="shared" si="113"/>
        <v>0.3</v>
      </c>
      <c r="Q70" s="651">
        <f t="shared" si="122"/>
        <v>0</v>
      </c>
      <c r="R70" s="651">
        <f t="shared" si="123"/>
        <v>0</v>
      </c>
      <c r="S70" s="651">
        <f t="shared" si="124"/>
        <v>0</v>
      </c>
      <c r="T70" s="651" t="str">
        <f t="shared" si="125"/>
        <v>No</v>
      </c>
      <c r="U70" s="669">
        <f t="shared" si="143"/>
        <v>0</v>
      </c>
      <c r="V70" s="668">
        <f t="shared" si="126"/>
        <v>0.76045284126591361</v>
      </c>
      <c r="W70" s="651">
        <f t="shared" si="114"/>
        <v>0.2</v>
      </c>
      <c r="X70" s="651">
        <f t="shared" si="127"/>
        <v>0</v>
      </c>
      <c r="Y70" s="651">
        <f t="shared" si="128"/>
        <v>0</v>
      </c>
      <c r="Z70" s="651">
        <f t="shared" si="129"/>
        <v>0</v>
      </c>
      <c r="AA70" s="650" t="str">
        <f t="shared" si="130"/>
        <v>No</v>
      </c>
      <c r="AB70" s="669">
        <f t="shared" si="144"/>
        <v>0</v>
      </c>
      <c r="AC70" s="668">
        <f t="shared" si="131"/>
        <v>0.78333711454892818</v>
      </c>
      <c r="AD70" s="651">
        <f t="shared" si="115"/>
        <v>0.1</v>
      </c>
      <c r="AE70" s="651">
        <f t="shared" si="132"/>
        <v>0</v>
      </c>
      <c r="AF70" s="651">
        <f t="shared" si="133"/>
        <v>0</v>
      </c>
      <c r="AG70" s="651">
        <f t="shared" si="134"/>
        <v>0</v>
      </c>
      <c r="AH70" s="651" t="str">
        <f t="shared" si="135"/>
        <v>No</v>
      </c>
      <c r="AI70" s="669">
        <f t="shared" si="145"/>
        <v>0</v>
      </c>
      <c r="AJ70" s="675">
        <f t="shared" si="136"/>
        <v>0.79697509928683563</v>
      </c>
      <c r="AK70" s="654">
        <f t="shared" si="137"/>
        <v>6.1666666666666703E-2</v>
      </c>
      <c r="AL70" s="656">
        <f t="shared" si="138"/>
        <v>0</v>
      </c>
      <c r="AM70" s="656">
        <f t="shared" si="139"/>
        <v>0</v>
      </c>
      <c r="AN70" s="656">
        <f t="shared" si="140"/>
        <v>0</v>
      </c>
      <c r="AO70" s="656" t="str">
        <f t="shared" si="141"/>
        <v>No</v>
      </c>
      <c r="AP70" s="676">
        <f t="shared" si="146"/>
        <v>0</v>
      </c>
    </row>
    <row r="71" spans="1:42" ht="15">
      <c r="A71" s="777" t="s">
        <v>119</v>
      </c>
      <c r="B71" s="643">
        <v>29</v>
      </c>
      <c r="C71" s="766">
        <v>26</v>
      </c>
      <c r="D71" s="662">
        <v>3.75</v>
      </c>
      <c r="E71" s="663">
        <v>0.6627654528733723</v>
      </c>
      <c r="F71" s="664">
        <v>0.157</v>
      </c>
      <c r="G71" s="719">
        <v>1</v>
      </c>
      <c r="H71" s="671">
        <f t="shared" si="116"/>
        <v>0.61895802559840873</v>
      </c>
      <c r="I71" s="651">
        <v>0.5</v>
      </c>
      <c r="J71" s="651">
        <f t="shared" si="117"/>
        <v>1</v>
      </c>
      <c r="K71" s="651">
        <f t="shared" si="118"/>
        <v>1</v>
      </c>
      <c r="L71" s="651">
        <f t="shared" si="119"/>
        <v>2</v>
      </c>
      <c r="M71" s="651" t="str">
        <f t="shared" si="120"/>
        <v>Yes</v>
      </c>
      <c r="N71" s="670">
        <f t="shared" si="142"/>
        <v>1</v>
      </c>
      <c r="O71" s="671">
        <f t="shared" si="121"/>
        <v>0.70474191558289323</v>
      </c>
      <c r="P71" s="651">
        <f t="shared" si="113"/>
        <v>0.3</v>
      </c>
      <c r="Q71" s="651">
        <f t="shared" si="122"/>
        <v>0</v>
      </c>
      <c r="R71" s="651">
        <f t="shared" si="123"/>
        <v>1</v>
      </c>
      <c r="S71" s="651">
        <f t="shared" si="124"/>
        <v>1</v>
      </c>
      <c r="T71" s="651" t="str">
        <f t="shared" si="125"/>
        <v>No</v>
      </c>
      <c r="U71" s="669">
        <f t="shared" si="143"/>
        <v>0</v>
      </c>
      <c r="V71" s="671">
        <f t="shared" si="126"/>
        <v>0.73553008438276057</v>
      </c>
      <c r="W71" s="651">
        <f t="shared" si="114"/>
        <v>0.2</v>
      </c>
      <c r="X71" s="651">
        <f t="shared" si="127"/>
        <v>0</v>
      </c>
      <c r="Y71" s="651">
        <f t="shared" si="128"/>
        <v>1</v>
      </c>
      <c r="Z71" s="651">
        <f t="shared" si="129"/>
        <v>1</v>
      </c>
      <c r="AA71" s="650" t="str">
        <f t="shared" si="130"/>
        <v>No</v>
      </c>
      <c r="AB71" s="669">
        <f t="shared" si="144"/>
        <v>0</v>
      </c>
      <c r="AC71" s="671">
        <f t="shared" si="131"/>
        <v>0.7585946646387447</v>
      </c>
      <c r="AD71" s="651">
        <f t="shared" si="115"/>
        <v>0.1</v>
      </c>
      <c r="AE71" s="651">
        <f t="shared" si="132"/>
        <v>0</v>
      </c>
      <c r="AF71" s="651">
        <f t="shared" si="133"/>
        <v>0</v>
      </c>
      <c r="AG71" s="651">
        <f t="shared" si="134"/>
        <v>0</v>
      </c>
      <c r="AH71" s="651" t="str">
        <f t="shared" si="135"/>
        <v>No</v>
      </c>
      <c r="AI71" s="669">
        <f t="shared" si="145"/>
        <v>0</v>
      </c>
      <c r="AJ71" s="675">
        <f t="shared" si="136"/>
        <v>0.76916871135860332</v>
      </c>
      <c r="AK71" s="654">
        <f t="shared" si="137"/>
        <v>6.1666666666666703E-2</v>
      </c>
      <c r="AL71" s="656">
        <f t="shared" si="138"/>
        <v>0</v>
      </c>
      <c r="AM71" s="656">
        <f t="shared" si="139"/>
        <v>0</v>
      </c>
      <c r="AN71" s="656">
        <f t="shared" si="140"/>
        <v>0</v>
      </c>
      <c r="AO71" s="656" t="str">
        <f t="shared" si="141"/>
        <v>No</v>
      </c>
      <c r="AP71" s="676">
        <f t="shared" si="146"/>
        <v>0</v>
      </c>
    </row>
    <row r="72" spans="1:42" ht="15">
      <c r="A72" s="777" t="s">
        <v>119</v>
      </c>
      <c r="B72" s="643">
        <v>29</v>
      </c>
      <c r="C72" s="766">
        <v>27</v>
      </c>
      <c r="D72" s="659">
        <v>3.5</v>
      </c>
      <c r="E72" s="660">
        <v>0.69614089665597034</v>
      </c>
      <c r="F72" s="661">
        <v>7.0999999999999994E-2</v>
      </c>
      <c r="G72" s="688">
        <v>1</v>
      </c>
      <c r="H72" s="668">
        <f t="shared" si="116"/>
        <v>0.61274866716458309</v>
      </c>
      <c r="I72" s="651">
        <v>0.5</v>
      </c>
      <c r="J72" s="651">
        <f t="shared" si="117"/>
        <v>1</v>
      </c>
      <c r="K72" s="651">
        <f t="shared" si="118"/>
        <v>1</v>
      </c>
      <c r="L72" s="651">
        <f t="shared" si="119"/>
        <v>2</v>
      </c>
      <c r="M72" s="651" t="str">
        <f t="shared" si="120"/>
        <v>Yes</v>
      </c>
      <c r="N72" s="670">
        <f t="shared" si="142"/>
        <v>1</v>
      </c>
      <c r="O72" s="668">
        <f t="shared" si="121"/>
        <v>0.70042296182781005</v>
      </c>
      <c r="P72" s="651">
        <f t="shared" si="113"/>
        <v>0.3</v>
      </c>
      <c r="Q72" s="651">
        <f t="shared" si="122"/>
        <v>0</v>
      </c>
      <c r="R72" s="651">
        <f t="shared" si="123"/>
        <v>1</v>
      </c>
      <c r="S72" s="651">
        <f t="shared" si="124"/>
        <v>1</v>
      </c>
      <c r="T72" s="651" t="str">
        <f t="shared" si="125"/>
        <v>No</v>
      </c>
      <c r="U72" s="669">
        <f t="shared" si="143"/>
        <v>0</v>
      </c>
      <c r="V72" s="668">
        <f t="shared" si="126"/>
        <v>0.73096868409152527</v>
      </c>
      <c r="W72" s="651">
        <f t="shared" si="114"/>
        <v>0.2</v>
      </c>
      <c r="X72" s="651">
        <f t="shared" si="127"/>
        <v>0</v>
      </c>
      <c r="Y72" s="651">
        <f t="shared" si="128"/>
        <v>1</v>
      </c>
      <c r="Z72" s="651">
        <f t="shared" si="129"/>
        <v>1</v>
      </c>
      <c r="AA72" s="650" t="str">
        <f t="shared" si="130"/>
        <v>No</v>
      </c>
      <c r="AB72" s="669">
        <f t="shared" si="144"/>
        <v>0</v>
      </c>
      <c r="AC72" s="668">
        <f t="shared" si="131"/>
        <v>0.75404617076317115</v>
      </c>
      <c r="AD72" s="651">
        <f t="shared" si="115"/>
        <v>0.1</v>
      </c>
      <c r="AE72" s="651">
        <f t="shared" si="132"/>
        <v>0</v>
      </c>
      <c r="AF72" s="651">
        <f t="shared" si="133"/>
        <v>1</v>
      </c>
      <c r="AG72" s="651">
        <f t="shared" si="134"/>
        <v>1</v>
      </c>
      <c r="AH72" s="651" t="str">
        <f t="shared" si="135"/>
        <v>No</v>
      </c>
      <c r="AI72" s="669">
        <f t="shared" si="145"/>
        <v>0</v>
      </c>
      <c r="AJ72" s="675">
        <f t="shared" si="136"/>
        <v>0.76406827451113413</v>
      </c>
      <c r="AK72" s="654">
        <f t="shared" si="137"/>
        <v>6.1666666666666703E-2</v>
      </c>
      <c r="AL72" s="656">
        <f t="shared" si="138"/>
        <v>0</v>
      </c>
      <c r="AM72" s="656">
        <f t="shared" si="139"/>
        <v>0</v>
      </c>
      <c r="AN72" s="656">
        <f t="shared" si="140"/>
        <v>0</v>
      </c>
      <c r="AO72" s="656" t="str">
        <f t="shared" si="141"/>
        <v>No</v>
      </c>
      <c r="AP72" s="676">
        <f t="shared" si="146"/>
        <v>0</v>
      </c>
    </row>
    <row r="73" spans="1:42" ht="15">
      <c r="A73" s="777" t="s">
        <v>119</v>
      </c>
      <c r="B73" s="643">
        <v>29</v>
      </c>
      <c r="C73" s="766">
        <v>28</v>
      </c>
      <c r="D73" s="659">
        <v>2.2050000000000001</v>
      </c>
      <c r="E73" s="660">
        <v>0.57094030477109503</v>
      </c>
      <c r="F73" s="661">
        <v>5.0999999999999997E-2</v>
      </c>
      <c r="G73" s="688">
        <v>1</v>
      </c>
      <c r="H73" s="668">
        <f t="shared" si="116"/>
        <v>0.57116547580089283</v>
      </c>
      <c r="I73" s="651">
        <v>0.5</v>
      </c>
      <c r="J73" s="651">
        <f t="shared" si="117"/>
        <v>0</v>
      </c>
      <c r="K73" s="651">
        <f t="shared" si="118"/>
        <v>1</v>
      </c>
      <c r="L73" s="651">
        <f t="shared" si="119"/>
        <v>1</v>
      </c>
      <c r="M73" s="651" t="str">
        <f t="shared" si="120"/>
        <v>No</v>
      </c>
      <c r="N73" s="670">
        <f t="shared" si="142"/>
        <v>0</v>
      </c>
      <c r="O73" s="668">
        <f t="shared" si="121"/>
        <v>0.67149954205706552</v>
      </c>
      <c r="P73" s="651">
        <f t="shared" si="113"/>
        <v>0.3</v>
      </c>
      <c r="Q73" s="651">
        <f t="shared" si="122"/>
        <v>0</v>
      </c>
      <c r="R73" s="651">
        <f t="shared" si="123"/>
        <v>1</v>
      </c>
      <c r="S73" s="651">
        <f t="shared" si="124"/>
        <v>1</v>
      </c>
      <c r="T73" s="651" t="str">
        <f t="shared" si="125"/>
        <v>No</v>
      </c>
      <c r="U73" s="669">
        <f t="shared" si="143"/>
        <v>0</v>
      </c>
      <c r="V73" s="668">
        <f t="shared" si="126"/>
        <v>0.70000449837380652</v>
      </c>
      <c r="W73" s="651">
        <f t="shared" si="114"/>
        <v>0.2</v>
      </c>
      <c r="X73" s="651">
        <f t="shared" si="127"/>
        <v>0</v>
      </c>
      <c r="Y73" s="651">
        <f t="shared" si="128"/>
        <v>1</v>
      </c>
      <c r="Z73" s="651">
        <f t="shared" si="129"/>
        <v>1</v>
      </c>
      <c r="AA73" s="650" t="str">
        <f t="shared" si="130"/>
        <v>No</v>
      </c>
      <c r="AB73" s="669">
        <f t="shared" si="144"/>
        <v>0</v>
      </c>
      <c r="AC73" s="668">
        <f t="shared" si="131"/>
        <v>0.72305465313181549</v>
      </c>
      <c r="AD73" s="651">
        <f t="shared" si="115"/>
        <v>0.1</v>
      </c>
      <c r="AE73" s="651">
        <f t="shared" si="132"/>
        <v>0</v>
      </c>
      <c r="AF73" s="651">
        <f t="shared" si="133"/>
        <v>1</v>
      </c>
      <c r="AG73" s="651">
        <f t="shared" si="134"/>
        <v>1</v>
      </c>
      <c r="AH73" s="651" t="str">
        <f t="shared" si="135"/>
        <v>No</v>
      </c>
      <c r="AI73" s="669">
        <f t="shared" si="145"/>
        <v>0</v>
      </c>
      <c r="AJ73" s="675">
        <f t="shared" si="136"/>
        <v>0.72938047320300603</v>
      </c>
      <c r="AK73" s="654">
        <f t="shared" si="137"/>
        <v>6.1666666666666703E-2</v>
      </c>
      <c r="AL73" s="656">
        <f t="shared" si="138"/>
        <v>0</v>
      </c>
      <c r="AM73" s="656">
        <f t="shared" si="139"/>
        <v>1</v>
      </c>
      <c r="AN73" s="656">
        <f t="shared" si="140"/>
        <v>1</v>
      </c>
      <c r="AO73" s="656" t="str">
        <f t="shared" si="141"/>
        <v>No</v>
      </c>
      <c r="AP73" s="676">
        <f t="shared" si="146"/>
        <v>0</v>
      </c>
    </row>
    <row r="74" spans="1:42" ht="15">
      <c r="A74" s="777" t="s">
        <v>119</v>
      </c>
      <c r="B74" s="643">
        <v>29</v>
      </c>
      <c r="C74" s="766">
        <v>29</v>
      </c>
      <c r="D74" s="662">
        <v>5.2</v>
      </c>
      <c r="E74" s="663">
        <v>0.67981175543074346</v>
      </c>
      <c r="F74" s="664">
        <v>0.104</v>
      </c>
      <c r="G74" s="719">
        <v>1</v>
      </c>
      <c r="H74" s="671">
        <f t="shared" si="116"/>
        <v>0.6483792763028644</v>
      </c>
      <c r="I74" s="651">
        <v>0.5</v>
      </c>
      <c r="J74" s="651">
        <f t="shared" si="117"/>
        <v>1</v>
      </c>
      <c r="K74" s="651">
        <f t="shared" si="118"/>
        <v>1</v>
      </c>
      <c r="L74" s="651">
        <f t="shared" si="119"/>
        <v>2</v>
      </c>
      <c r="M74" s="651" t="str">
        <f t="shared" si="120"/>
        <v>Yes</v>
      </c>
      <c r="N74" s="670">
        <f t="shared" si="142"/>
        <v>1</v>
      </c>
      <c r="O74" s="671">
        <f t="shared" si="121"/>
        <v>0.72520602996177008</v>
      </c>
      <c r="P74" s="651">
        <f t="shared" si="113"/>
        <v>0.3</v>
      </c>
      <c r="Q74" s="651">
        <f t="shared" si="122"/>
        <v>0</v>
      </c>
      <c r="R74" s="651">
        <f t="shared" si="123"/>
        <v>1</v>
      </c>
      <c r="S74" s="651">
        <f t="shared" si="124"/>
        <v>1</v>
      </c>
      <c r="T74" s="651" t="str">
        <f t="shared" si="125"/>
        <v>No</v>
      </c>
      <c r="U74" s="669">
        <f t="shared" si="143"/>
        <v>0</v>
      </c>
      <c r="V74" s="671">
        <f t="shared" si="126"/>
        <v>0.75685096965367549</v>
      </c>
      <c r="W74" s="651">
        <f t="shared" si="114"/>
        <v>0.2</v>
      </c>
      <c r="X74" s="651">
        <f t="shared" si="127"/>
        <v>0</v>
      </c>
      <c r="Y74" s="651">
        <f t="shared" si="128"/>
        <v>1</v>
      </c>
      <c r="Z74" s="651">
        <f t="shared" si="129"/>
        <v>1</v>
      </c>
      <c r="AA74" s="650" t="str">
        <f t="shared" si="130"/>
        <v>No</v>
      </c>
      <c r="AB74" s="669">
        <f t="shared" si="144"/>
        <v>0</v>
      </c>
      <c r="AC74" s="671">
        <f t="shared" si="131"/>
        <v>0.77977476241670418</v>
      </c>
      <c r="AD74" s="651">
        <f t="shared" si="115"/>
        <v>0.1</v>
      </c>
      <c r="AE74" s="651">
        <f t="shared" si="132"/>
        <v>0</v>
      </c>
      <c r="AF74" s="651">
        <f t="shared" si="133"/>
        <v>0</v>
      </c>
      <c r="AG74" s="651">
        <f t="shared" si="134"/>
        <v>0</v>
      </c>
      <c r="AH74" s="651" t="str">
        <f t="shared" si="135"/>
        <v>No</v>
      </c>
      <c r="AI74" s="669">
        <f t="shared" si="145"/>
        <v>0</v>
      </c>
      <c r="AJ74" s="675">
        <f t="shared" si="136"/>
        <v>0.79296403142140315</v>
      </c>
      <c r="AK74" s="654">
        <f t="shared" si="137"/>
        <v>6.1666666666666703E-2</v>
      </c>
      <c r="AL74" s="656">
        <f t="shared" si="138"/>
        <v>0</v>
      </c>
      <c r="AM74" s="656">
        <f t="shared" si="139"/>
        <v>0</v>
      </c>
      <c r="AN74" s="656">
        <f t="shared" si="140"/>
        <v>0</v>
      </c>
      <c r="AO74" s="656" t="str">
        <f t="shared" si="141"/>
        <v>No</v>
      </c>
      <c r="AP74" s="676">
        <f t="shared" si="146"/>
        <v>0</v>
      </c>
    </row>
    <row r="75" spans="1:42" ht="15">
      <c r="A75" s="777" t="s">
        <v>119</v>
      </c>
      <c r="B75" s="643">
        <v>29</v>
      </c>
      <c r="C75" s="766">
        <v>30</v>
      </c>
      <c r="D75" s="662">
        <v>5.2</v>
      </c>
      <c r="E75" s="663">
        <v>0.6773892103613175</v>
      </c>
      <c r="F75" s="664">
        <v>0.10209</v>
      </c>
      <c r="G75" s="719">
        <v>1</v>
      </c>
      <c r="H75" s="671">
        <f t="shared" si="116"/>
        <v>0.6483792763028644</v>
      </c>
      <c r="I75" s="651">
        <v>0.5</v>
      </c>
      <c r="J75" s="651">
        <f t="shared" si="117"/>
        <v>1</v>
      </c>
      <c r="K75" s="651">
        <f t="shared" si="118"/>
        <v>1</v>
      </c>
      <c r="L75" s="651">
        <f t="shared" si="119"/>
        <v>2</v>
      </c>
      <c r="M75" s="651" t="str">
        <f t="shared" si="120"/>
        <v>Yes</v>
      </c>
      <c r="N75" s="670">
        <f t="shared" si="142"/>
        <v>1</v>
      </c>
      <c r="O75" s="671">
        <f t="shared" si="121"/>
        <v>0.72520602996177008</v>
      </c>
      <c r="P75" s="651">
        <f t="shared" si="113"/>
        <v>0.3</v>
      </c>
      <c r="Q75" s="651">
        <f t="shared" si="122"/>
        <v>0</v>
      </c>
      <c r="R75" s="651">
        <f t="shared" si="123"/>
        <v>1</v>
      </c>
      <c r="S75" s="651">
        <f t="shared" si="124"/>
        <v>1</v>
      </c>
      <c r="T75" s="651" t="str">
        <f t="shared" si="125"/>
        <v>No</v>
      </c>
      <c r="U75" s="669">
        <f t="shared" si="143"/>
        <v>0</v>
      </c>
      <c r="V75" s="671">
        <f t="shared" si="126"/>
        <v>0.75685096965367549</v>
      </c>
      <c r="W75" s="651">
        <f t="shared" si="114"/>
        <v>0.2</v>
      </c>
      <c r="X75" s="651">
        <f t="shared" si="127"/>
        <v>0</v>
      </c>
      <c r="Y75" s="651">
        <f t="shared" si="128"/>
        <v>1</v>
      </c>
      <c r="Z75" s="651">
        <f t="shared" si="129"/>
        <v>1</v>
      </c>
      <c r="AA75" s="650" t="str">
        <f t="shared" si="130"/>
        <v>No</v>
      </c>
      <c r="AB75" s="669">
        <f t="shared" si="144"/>
        <v>0</v>
      </c>
      <c r="AC75" s="671">
        <f t="shared" si="131"/>
        <v>0.77977476241670418</v>
      </c>
      <c r="AD75" s="651">
        <f t="shared" si="115"/>
        <v>0.1</v>
      </c>
      <c r="AE75" s="651">
        <f t="shared" si="132"/>
        <v>0</v>
      </c>
      <c r="AF75" s="651">
        <f t="shared" si="133"/>
        <v>0</v>
      </c>
      <c r="AG75" s="651">
        <f t="shared" si="134"/>
        <v>0</v>
      </c>
      <c r="AH75" s="651" t="str">
        <f t="shared" si="135"/>
        <v>No</v>
      </c>
      <c r="AI75" s="669">
        <f t="shared" si="145"/>
        <v>0</v>
      </c>
      <c r="AJ75" s="675">
        <f t="shared" si="136"/>
        <v>0.79296403142140315</v>
      </c>
      <c r="AK75" s="654">
        <f t="shared" si="137"/>
        <v>6.1666666666666703E-2</v>
      </c>
      <c r="AL75" s="656">
        <f t="shared" si="138"/>
        <v>0</v>
      </c>
      <c r="AM75" s="656">
        <f t="shared" si="139"/>
        <v>0</v>
      </c>
      <c r="AN75" s="656">
        <f t="shared" si="140"/>
        <v>0</v>
      </c>
      <c r="AO75" s="656" t="str">
        <f t="shared" si="141"/>
        <v>No</v>
      </c>
      <c r="AP75" s="676">
        <f t="shared" si="146"/>
        <v>0</v>
      </c>
    </row>
    <row r="76" spans="1:42" ht="15">
      <c r="A76" s="777" t="s">
        <v>119</v>
      </c>
      <c r="B76" s="643">
        <v>29</v>
      </c>
      <c r="C76" s="766">
        <v>87</v>
      </c>
      <c r="D76" s="659">
        <v>2.75</v>
      </c>
      <c r="E76" s="660">
        <v>0.62838625404585369</v>
      </c>
      <c r="F76" s="661">
        <v>0.18</v>
      </c>
      <c r="G76" s="688">
        <v>1</v>
      </c>
      <c r="H76" s="668">
        <f t="shared" si="116"/>
        <v>0.59104408205106318</v>
      </c>
      <c r="I76" s="651">
        <v>0.5</v>
      </c>
      <c r="J76" s="651">
        <f t="shared" si="117"/>
        <v>1</v>
      </c>
      <c r="K76" s="651">
        <f t="shared" si="118"/>
        <v>1</v>
      </c>
      <c r="L76" s="651">
        <f t="shared" si="119"/>
        <v>2</v>
      </c>
      <c r="M76" s="651" t="str">
        <f t="shared" si="120"/>
        <v>Yes</v>
      </c>
      <c r="N76" s="669">
        <f t="shared" si="142"/>
        <v>1</v>
      </c>
      <c r="O76" s="668">
        <f t="shared" si="121"/>
        <v>0.68532621707107289</v>
      </c>
      <c r="P76" s="651">
        <f t="shared" si="113"/>
        <v>0.3</v>
      </c>
      <c r="Q76" s="651">
        <f t="shared" si="122"/>
        <v>0</v>
      </c>
      <c r="R76" s="651">
        <f t="shared" si="123"/>
        <v>1</v>
      </c>
      <c r="S76" s="651">
        <f t="shared" si="124"/>
        <v>1</v>
      </c>
      <c r="T76" s="651" t="str">
        <f t="shared" si="125"/>
        <v>No</v>
      </c>
      <c r="U76" s="669">
        <f t="shared" si="143"/>
        <v>0</v>
      </c>
      <c r="V76" s="668">
        <f t="shared" si="126"/>
        <v>0.71488822390866147</v>
      </c>
      <c r="W76" s="651">
        <f t="shared" si="114"/>
        <v>0.2</v>
      </c>
      <c r="X76" s="651">
        <f t="shared" si="127"/>
        <v>0</v>
      </c>
      <c r="Y76" s="651">
        <f t="shared" si="128"/>
        <v>1</v>
      </c>
      <c r="Z76" s="651">
        <f t="shared" si="129"/>
        <v>1</v>
      </c>
      <c r="AA76" s="650" t="str">
        <f t="shared" si="130"/>
        <v>No</v>
      </c>
      <c r="AB76" s="669">
        <f t="shared" si="144"/>
        <v>0</v>
      </c>
      <c r="AC76" s="668">
        <f t="shared" si="131"/>
        <v>0.73797366472917214</v>
      </c>
      <c r="AD76" s="651">
        <f t="shared" si="115"/>
        <v>0.1</v>
      </c>
      <c r="AE76" s="651">
        <f t="shared" si="132"/>
        <v>0</v>
      </c>
      <c r="AF76" s="651">
        <f t="shared" si="133"/>
        <v>0</v>
      </c>
      <c r="AG76" s="651">
        <f t="shared" si="134"/>
        <v>0</v>
      </c>
      <c r="AH76" s="651" t="str">
        <f t="shared" si="135"/>
        <v>No</v>
      </c>
      <c r="AI76" s="669">
        <f t="shared" si="145"/>
        <v>0</v>
      </c>
      <c r="AJ76" s="674">
        <f t="shared" si="136"/>
        <v>0.7460664720225999</v>
      </c>
      <c r="AK76" s="654">
        <f t="shared" si="137"/>
        <v>6.1666666666666703E-2</v>
      </c>
      <c r="AL76" s="654">
        <f t="shared" si="138"/>
        <v>0</v>
      </c>
      <c r="AM76" s="654">
        <f t="shared" si="139"/>
        <v>0</v>
      </c>
      <c r="AN76" s="654">
        <f t="shared" si="140"/>
        <v>0</v>
      </c>
      <c r="AO76" s="654" t="str">
        <f t="shared" si="141"/>
        <v>No</v>
      </c>
      <c r="AP76" s="655">
        <f t="shared" si="146"/>
        <v>0</v>
      </c>
    </row>
    <row r="77" spans="1:42" ht="15">
      <c r="A77" s="777" t="s">
        <v>119</v>
      </c>
      <c r="B77" s="643">
        <v>29</v>
      </c>
      <c r="C77" s="766">
        <v>88</v>
      </c>
      <c r="D77" s="659">
        <v>2.75</v>
      </c>
      <c r="E77" s="660">
        <v>0.6623089452293619</v>
      </c>
      <c r="F77" s="661">
        <v>0.17</v>
      </c>
      <c r="G77" s="688">
        <v>1</v>
      </c>
      <c r="H77" s="668">
        <f t="shared" si="116"/>
        <v>0.59104408205106318</v>
      </c>
      <c r="I77" s="651">
        <v>0.5</v>
      </c>
      <c r="J77" s="651">
        <f t="shared" si="117"/>
        <v>1</v>
      </c>
      <c r="K77" s="651">
        <f t="shared" si="118"/>
        <v>1</v>
      </c>
      <c r="L77" s="651">
        <f t="shared" si="119"/>
        <v>2</v>
      </c>
      <c r="M77" s="651" t="str">
        <f t="shared" si="120"/>
        <v>Yes</v>
      </c>
      <c r="N77" s="669">
        <f t="shared" si="142"/>
        <v>1</v>
      </c>
      <c r="O77" s="668">
        <f t="shared" si="121"/>
        <v>0.68532621707107289</v>
      </c>
      <c r="P77" s="651">
        <f t="shared" si="113"/>
        <v>0.3</v>
      </c>
      <c r="Q77" s="651">
        <f t="shared" si="122"/>
        <v>0</v>
      </c>
      <c r="R77" s="651">
        <f t="shared" si="123"/>
        <v>1</v>
      </c>
      <c r="S77" s="651">
        <f t="shared" si="124"/>
        <v>1</v>
      </c>
      <c r="T77" s="651" t="str">
        <f t="shared" si="125"/>
        <v>No</v>
      </c>
      <c r="U77" s="669">
        <f t="shared" si="143"/>
        <v>0</v>
      </c>
      <c r="V77" s="668">
        <f t="shared" si="126"/>
        <v>0.71488822390866147</v>
      </c>
      <c r="W77" s="651">
        <f t="shared" si="114"/>
        <v>0.2</v>
      </c>
      <c r="X77" s="651">
        <f t="shared" si="127"/>
        <v>0</v>
      </c>
      <c r="Y77" s="651">
        <f t="shared" si="128"/>
        <v>1</v>
      </c>
      <c r="Z77" s="651">
        <f t="shared" si="129"/>
        <v>1</v>
      </c>
      <c r="AA77" s="650" t="str">
        <f t="shared" si="130"/>
        <v>No</v>
      </c>
      <c r="AB77" s="669">
        <f t="shared" si="144"/>
        <v>0</v>
      </c>
      <c r="AC77" s="668">
        <f t="shared" si="131"/>
        <v>0.73797366472917214</v>
      </c>
      <c r="AD77" s="651">
        <f t="shared" si="115"/>
        <v>0.1</v>
      </c>
      <c r="AE77" s="651">
        <f t="shared" si="132"/>
        <v>0</v>
      </c>
      <c r="AF77" s="651">
        <f t="shared" si="133"/>
        <v>0</v>
      </c>
      <c r="AG77" s="651">
        <f t="shared" si="134"/>
        <v>0</v>
      </c>
      <c r="AH77" s="651" t="str">
        <f t="shared" si="135"/>
        <v>No</v>
      </c>
      <c r="AI77" s="669">
        <f t="shared" si="145"/>
        <v>0</v>
      </c>
      <c r="AJ77" s="674">
        <f t="shared" si="136"/>
        <v>0.7460664720225999</v>
      </c>
      <c r="AK77" s="654">
        <f t="shared" si="137"/>
        <v>6.1666666666666703E-2</v>
      </c>
      <c r="AL77" s="654">
        <f t="shared" si="138"/>
        <v>0</v>
      </c>
      <c r="AM77" s="654">
        <f t="shared" si="139"/>
        <v>0</v>
      </c>
      <c r="AN77" s="654">
        <f t="shared" si="140"/>
        <v>0</v>
      </c>
      <c r="AO77" s="654" t="str">
        <f t="shared" si="141"/>
        <v>No</v>
      </c>
      <c r="AP77" s="655">
        <f t="shared" si="146"/>
        <v>0</v>
      </c>
    </row>
    <row r="78" spans="1:42" ht="15">
      <c r="A78" s="777" t="s">
        <v>119</v>
      </c>
      <c r="B78" s="643">
        <v>29</v>
      </c>
      <c r="C78" s="766">
        <v>89</v>
      </c>
      <c r="D78" s="659">
        <v>2.75</v>
      </c>
      <c r="E78" s="660">
        <v>0.65852161353191019</v>
      </c>
      <c r="F78" s="661">
        <v>0.15</v>
      </c>
      <c r="G78" s="688">
        <v>1</v>
      </c>
      <c r="H78" s="668">
        <f t="shared" si="116"/>
        <v>0.59104408205106318</v>
      </c>
      <c r="I78" s="651">
        <v>0.5</v>
      </c>
      <c r="J78" s="651">
        <f t="shared" si="117"/>
        <v>1</v>
      </c>
      <c r="K78" s="651">
        <f t="shared" si="118"/>
        <v>1</v>
      </c>
      <c r="L78" s="651">
        <f t="shared" si="119"/>
        <v>2</v>
      </c>
      <c r="M78" s="651" t="str">
        <f t="shared" si="120"/>
        <v>Yes</v>
      </c>
      <c r="N78" s="669">
        <f t="shared" si="142"/>
        <v>1</v>
      </c>
      <c r="O78" s="668">
        <f t="shared" si="121"/>
        <v>0.68532621707107289</v>
      </c>
      <c r="P78" s="651">
        <f t="shared" si="113"/>
        <v>0.3</v>
      </c>
      <c r="Q78" s="651">
        <f t="shared" si="122"/>
        <v>0</v>
      </c>
      <c r="R78" s="651">
        <f t="shared" si="123"/>
        <v>1</v>
      </c>
      <c r="S78" s="651">
        <f t="shared" si="124"/>
        <v>1</v>
      </c>
      <c r="T78" s="651" t="str">
        <f t="shared" si="125"/>
        <v>No</v>
      </c>
      <c r="U78" s="669">
        <f t="shared" si="143"/>
        <v>0</v>
      </c>
      <c r="V78" s="668">
        <f t="shared" si="126"/>
        <v>0.71488822390866147</v>
      </c>
      <c r="W78" s="651">
        <f t="shared" si="114"/>
        <v>0.2</v>
      </c>
      <c r="X78" s="651">
        <f t="shared" si="127"/>
        <v>0</v>
      </c>
      <c r="Y78" s="651">
        <f t="shared" si="128"/>
        <v>1</v>
      </c>
      <c r="Z78" s="651">
        <f t="shared" si="129"/>
        <v>1</v>
      </c>
      <c r="AA78" s="650" t="str">
        <f t="shared" si="130"/>
        <v>No</v>
      </c>
      <c r="AB78" s="669">
        <f t="shared" si="144"/>
        <v>0</v>
      </c>
      <c r="AC78" s="668">
        <f t="shared" si="131"/>
        <v>0.73797366472917214</v>
      </c>
      <c r="AD78" s="651">
        <f t="shared" si="115"/>
        <v>0.1</v>
      </c>
      <c r="AE78" s="651">
        <f t="shared" si="132"/>
        <v>0</v>
      </c>
      <c r="AF78" s="651">
        <f t="shared" si="133"/>
        <v>0</v>
      </c>
      <c r="AG78" s="651">
        <f t="shared" si="134"/>
        <v>0</v>
      </c>
      <c r="AH78" s="651" t="str">
        <f t="shared" si="135"/>
        <v>No</v>
      </c>
      <c r="AI78" s="669">
        <f t="shared" si="145"/>
        <v>0</v>
      </c>
      <c r="AJ78" s="674">
        <f t="shared" si="136"/>
        <v>0.7460664720225999</v>
      </c>
      <c r="AK78" s="654">
        <f t="shared" si="137"/>
        <v>6.1666666666666703E-2</v>
      </c>
      <c r="AL78" s="654">
        <f t="shared" si="138"/>
        <v>0</v>
      </c>
      <c r="AM78" s="654">
        <f t="shared" si="139"/>
        <v>0</v>
      </c>
      <c r="AN78" s="654">
        <f t="shared" si="140"/>
        <v>0</v>
      </c>
      <c r="AO78" s="654" t="str">
        <f t="shared" si="141"/>
        <v>No</v>
      </c>
      <c r="AP78" s="655">
        <f t="shared" si="146"/>
        <v>0</v>
      </c>
    </row>
    <row r="79" spans="1:42" ht="15">
      <c r="A79" s="777" t="s">
        <v>119</v>
      </c>
      <c r="B79" s="643">
        <v>29</v>
      </c>
      <c r="C79" s="766">
        <v>90</v>
      </c>
      <c r="D79" s="659">
        <v>2.75</v>
      </c>
      <c r="E79" s="660">
        <v>0.66477168953400256</v>
      </c>
      <c r="F79" s="661">
        <v>0.15</v>
      </c>
      <c r="G79" s="688">
        <v>1</v>
      </c>
      <c r="H79" s="668">
        <f t="shared" si="116"/>
        <v>0.59104408205106318</v>
      </c>
      <c r="I79" s="651">
        <v>0.5</v>
      </c>
      <c r="J79" s="651">
        <f t="shared" si="117"/>
        <v>1</v>
      </c>
      <c r="K79" s="651">
        <f t="shared" si="118"/>
        <v>1</v>
      </c>
      <c r="L79" s="651">
        <f t="shared" si="119"/>
        <v>2</v>
      </c>
      <c r="M79" s="651" t="str">
        <f t="shared" si="120"/>
        <v>Yes</v>
      </c>
      <c r="N79" s="669">
        <f t="shared" si="142"/>
        <v>1</v>
      </c>
      <c r="O79" s="668">
        <f t="shared" si="121"/>
        <v>0.68532621707107289</v>
      </c>
      <c r="P79" s="651">
        <f t="shared" si="113"/>
        <v>0.3</v>
      </c>
      <c r="Q79" s="651">
        <f t="shared" si="122"/>
        <v>0</v>
      </c>
      <c r="R79" s="651">
        <f t="shared" si="123"/>
        <v>1</v>
      </c>
      <c r="S79" s="651">
        <f t="shared" si="124"/>
        <v>1</v>
      </c>
      <c r="T79" s="651" t="str">
        <f t="shared" si="125"/>
        <v>No</v>
      </c>
      <c r="U79" s="669">
        <f t="shared" si="143"/>
        <v>0</v>
      </c>
      <c r="V79" s="668">
        <f t="shared" si="126"/>
        <v>0.71488822390866147</v>
      </c>
      <c r="W79" s="651">
        <f t="shared" si="114"/>
        <v>0.2</v>
      </c>
      <c r="X79" s="651">
        <f t="shared" si="127"/>
        <v>0</v>
      </c>
      <c r="Y79" s="651">
        <f t="shared" si="128"/>
        <v>1</v>
      </c>
      <c r="Z79" s="651">
        <f t="shared" si="129"/>
        <v>1</v>
      </c>
      <c r="AA79" s="650" t="str">
        <f t="shared" si="130"/>
        <v>No</v>
      </c>
      <c r="AB79" s="669">
        <f t="shared" si="144"/>
        <v>0</v>
      </c>
      <c r="AC79" s="668">
        <f t="shared" si="131"/>
        <v>0.73797366472917214</v>
      </c>
      <c r="AD79" s="651">
        <f t="shared" si="115"/>
        <v>0.1</v>
      </c>
      <c r="AE79" s="651">
        <f t="shared" si="132"/>
        <v>0</v>
      </c>
      <c r="AF79" s="651">
        <f t="shared" si="133"/>
        <v>0</v>
      </c>
      <c r="AG79" s="651">
        <f t="shared" si="134"/>
        <v>0</v>
      </c>
      <c r="AH79" s="651" t="str">
        <f t="shared" si="135"/>
        <v>No</v>
      </c>
      <c r="AI79" s="669">
        <f t="shared" si="145"/>
        <v>0</v>
      </c>
      <c r="AJ79" s="674">
        <f t="shared" si="136"/>
        <v>0.7460664720225999</v>
      </c>
      <c r="AK79" s="654">
        <f t="shared" si="137"/>
        <v>6.1666666666666703E-2</v>
      </c>
      <c r="AL79" s="654">
        <f t="shared" si="138"/>
        <v>0</v>
      </c>
      <c r="AM79" s="654">
        <f t="shared" si="139"/>
        <v>0</v>
      </c>
      <c r="AN79" s="654">
        <f t="shared" si="140"/>
        <v>0</v>
      </c>
      <c r="AO79" s="654" t="str">
        <f t="shared" si="141"/>
        <v>No</v>
      </c>
      <c r="AP79" s="655">
        <f t="shared" si="146"/>
        <v>0</v>
      </c>
    </row>
    <row r="80" spans="1:42" ht="15">
      <c r="A80" s="777" t="s">
        <v>119</v>
      </c>
      <c r="B80" s="643">
        <v>29</v>
      </c>
      <c r="C80" s="766">
        <v>91</v>
      </c>
      <c r="D80" s="659">
        <v>2.2050000000000001</v>
      </c>
      <c r="E80" s="660">
        <v>0.5857951698967524</v>
      </c>
      <c r="F80" s="661">
        <v>7.0000000000000007E-2</v>
      </c>
      <c r="G80" s="688">
        <v>1</v>
      </c>
      <c r="H80" s="668">
        <f t="shared" si="116"/>
        <v>0.57116547580089283</v>
      </c>
      <c r="I80" s="651">
        <v>0.5</v>
      </c>
      <c r="J80" s="651">
        <f t="shared" si="117"/>
        <v>1</v>
      </c>
      <c r="K80" s="651">
        <f t="shared" si="118"/>
        <v>1</v>
      </c>
      <c r="L80" s="651">
        <f t="shared" si="119"/>
        <v>2</v>
      </c>
      <c r="M80" s="651" t="str">
        <f t="shared" si="120"/>
        <v>Yes</v>
      </c>
      <c r="N80" s="669">
        <f t="shared" si="142"/>
        <v>1</v>
      </c>
      <c r="O80" s="668">
        <f t="shared" si="121"/>
        <v>0.67149954205706552</v>
      </c>
      <c r="P80" s="651">
        <f t="shared" si="113"/>
        <v>0.3</v>
      </c>
      <c r="Q80" s="651">
        <f t="shared" si="122"/>
        <v>0</v>
      </c>
      <c r="R80" s="651">
        <f t="shared" si="123"/>
        <v>1</v>
      </c>
      <c r="S80" s="651">
        <f t="shared" si="124"/>
        <v>1</v>
      </c>
      <c r="T80" s="651" t="str">
        <f t="shared" si="125"/>
        <v>No</v>
      </c>
      <c r="U80" s="669">
        <f t="shared" si="143"/>
        <v>0</v>
      </c>
      <c r="V80" s="668">
        <f t="shared" si="126"/>
        <v>0.70000449837380652</v>
      </c>
      <c r="W80" s="651">
        <f t="shared" si="114"/>
        <v>0.2</v>
      </c>
      <c r="X80" s="651">
        <f t="shared" si="127"/>
        <v>0</v>
      </c>
      <c r="Y80" s="651">
        <f t="shared" si="128"/>
        <v>1</v>
      </c>
      <c r="Z80" s="651">
        <f t="shared" si="129"/>
        <v>1</v>
      </c>
      <c r="AA80" s="650" t="str">
        <f t="shared" si="130"/>
        <v>No</v>
      </c>
      <c r="AB80" s="669">
        <f t="shared" si="144"/>
        <v>0</v>
      </c>
      <c r="AC80" s="668">
        <f t="shared" si="131"/>
        <v>0.72305465313181549</v>
      </c>
      <c r="AD80" s="651">
        <f t="shared" si="115"/>
        <v>0.1</v>
      </c>
      <c r="AE80" s="651">
        <f t="shared" si="132"/>
        <v>0</v>
      </c>
      <c r="AF80" s="651">
        <f t="shared" si="133"/>
        <v>1</v>
      </c>
      <c r="AG80" s="651">
        <f t="shared" si="134"/>
        <v>1</v>
      </c>
      <c r="AH80" s="651" t="str">
        <f t="shared" si="135"/>
        <v>No</v>
      </c>
      <c r="AI80" s="669">
        <f t="shared" si="145"/>
        <v>0</v>
      </c>
      <c r="AJ80" s="674">
        <f t="shared" si="136"/>
        <v>0.72938047320300603</v>
      </c>
      <c r="AK80" s="654">
        <f t="shared" si="137"/>
        <v>6.1666666666666703E-2</v>
      </c>
      <c r="AL80" s="654">
        <f t="shared" si="138"/>
        <v>0</v>
      </c>
      <c r="AM80" s="654">
        <f t="shared" si="139"/>
        <v>0</v>
      </c>
      <c r="AN80" s="654">
        <f t="shared" si="140"/>
        <v>0</v>
      </c>
      <c r="AO80" s="654" t="str">
        <f t="shared" si="141"/>
        <v>No</v>
      </c>
      <c r="AP80" s="655">
        <f t="shared" si="146"/>
        <v>0</v>
      </c>
    </row>
    <row r="81" spans="1:42" ht="15">
      <c r="A81" s="777" t="s">
        <v>119</v>
      </c>
      <c r="B81" s="643">
        <v>29</v>
      </c>
      <c r="C81" s="766">
        <v>92</v>
      </c>
      <c r="D81" s="659">
        <v>2.2050000000000001</v>
      </c>
      <c r="E81" s="660">
        <v>0.59605708776250976</v>
      </c>
      <c r="F81" s="661">
        <v>0.1</v>
      </c>
      <c r="G81" s="688">
        <v>1</v>
      </c>
      <c r="H81" s="668">
        <f t="shared" si="116"/>
        <v>0.57116547580089283</v>
      </c>
      <c r="I81" s="651">
        <v>0.5</v>
      </c>
      <c r="J81" s="651">
        <f t="shared" si="117"/>
        <v>1</v>
      </c>
      <c r="K81" s="651">
        <f t="shared" si="118"/>
        <v>1</v>
      </c>
      <c r="L81" s="651">
        <f t="shared" si="119"/>
        <v>2</v>
      </c>
      <c r="M81" s="651" t="str">
        <f t="shared" si="120"/>
        <v>Yes</v>
      </c>
      <c r="N81" s="669">
        <f t="shared" si="142"/>
        <v>1</v>
      </c>
      <c r="O81" s="668">
        <f t="shared" si="121"/>
        <v>0.67149954205706552</v>
      </c>
      <c r="P81" s="651">
        <f t="shared" si="113"/>
        <v>0.3</v>
      </c>
      <c r="Q81" s="651">
        <f t="shared" si="122"/>
        <v>0</v>
      </c>
      <c r="R81" s="651">
        <f t="shared" si="123"/>
        <v>1</v>
      </c>
      <c r="S81" s="651">
        <f t="shared" si="124"/>
        <v>1</v>
      </c>
      <c r="T81" s="651" t="str">
        <f t="shared" si="125"/>
        <v>No</v>
      </c>
      <c r="U81" s="669">
        <f t="shared" si="143"/>
        <v>0</v>
      </c>
      <c r="V81" s="668">
        <f t="shared" si="126"/>
        <v>0.70000449837380652</v>
      </c>
      <c r="W81" s="651">
        <f t="shared" si="114"/>
        <v>0.2</v>
      </c>
      <c r="X81" s="651">
        <f t="shared" si="127"/>
        <v>0</v>
      </c>
      <c r="Y81" s="651">
        <f t="shared" si="128"/>
        <v>1</v>
      </c>
      <c r="Z81" s="651">
        <f t="shared" si="129"/>
        <v>1</v>
      </c>
      <c r="AA81" s="650" t="str">
        <f t="shared" si="130"/>
        <v>No</v>
      </c>
      <c r="AB81" s="669">
        <f t="shared" si="144"/>
        <v>0</v>
      </c>
      <c r="AC81" s="668">
        <f t="shared" si="131"/>
        <v>0.72305465313181549</v>
      </c>
      <c r="AD81" s="651">
        <f t="shared" si="115"/>
        <v>0.1</v>
      </c>
      <c r="AE81" s="651">
        <f t="shared" si="132"/>
        <v>0</v>
      </c>
      <c r="AF81" s="651">
        <f t="shared" si="133"/>
        <v>0</v>
      </c>
      <c r="AG81" s="651">
        <f t="shared" si="134"/>
        <v>0</v>
      </c>
      <c r="AH81" s="651" t="str">
        <f t="shared" si="135"/>
        <v>No</v>
      </c>
      <c r="AI81" s="669">
        <f t="shared" si="145"/>
        <v>0</v>
      </c>
      <c r="AJ81" s="674">
        <f t="shared" si="136"/>
        <v>0.72938047320300603</v>
      </c>
      <c r="AK81" s="654">
        <f t="shared" si="137"/>
        <v>6.1666666666666703E-2</v>
      </c>
      <c r="AL81" s="654">
        <f t="shared" si="138"/>
        <v>0</v>
      </c>
      <c r="AM81" s="654">
        <f t="shared" si="139"/>
        <v>0</v>
      </c>
      <c r="AN81" s="654">
        <f t="shared" si="140"/>
        <v>0</v>
      </c>
      <c r="AO81" s="654" t="str">
        <f t="shared" si="141"/>
        <v>No</v>
      </c>
      <c r="AP81" s="655">
        <f t="shared" si="146"/>
        <v>0</v>
      </c>
    </row>
    <row r="82" spans="1:42" ht="15">
      <c r="A82" s="777" t="s">
        <v>119</v>
      </c>
      <c r="B82" s="643">
        <v>29</v>
      </c>
      <c r="C82" s="766">
        <v>98</v>
      </c>
      <c r="D82" s="659">
        <v>2.5</v>
      </c>
      <c r="E82" s="660">
        <v>0.63210713905221927</v>
      </c>
      <c r="F82" s="661">
        <v>0.17</v>
      </c>
      <c r="G82" s="688">
        <v>1</v>
      </c>
      <c r="H82" s="668">
        <f t="shared" si="116"/>
        <v>0.58246616586867395</v>
      </c>
      <c r="I82" s="651">
        <v>0.5</v>
      </c>
      <c r="J82" s="651">
        <f t="shared" si="117"/>
        <v>1</v>
      </c>
      <c r="K82" s="651">
        <f t="shared" si="118"/>
        <v>1</v>
      </c>
      <c r="L82" s="651">
        <f t="shared" si="119"/>
        <v>2</v>
      </c>
      <c r="M82" s="651" t="str">
        <f t="shared" si="120"/>
        <v>Yes</v>
      </c>
      <c r="N82" s="669">
        <f>IF(T82="yes",0,IF(M82="yes",1,0))</f>
        <v>1</v>
      </c>
      <c r="O82" s="668">
        <f t="shared" si="121"/>
        <v>0.67935979981532213</v>
      </c>
      <c r="P82" s="651">
        <f t="shared" si="113"/>
        <v>0.3</v>
      </c>
      <c r="Q82" s="651">
        <f t="shared" si="122"/>
        <v>0</v>
      </c>
      <c r="R82" s="651">
        <f t="shared" si="123"/>
        <v>1</v>
      </c>
      <c r="S82" s="651">
        <f t="shared" si="124"/>
        <v>1</v>
      </c>
      <c r="T82" s="651" t="str">
        <f t="shared" si="125"/>
        <v>No</v>
      </c>
      <c r="U82" s="669">
        <f t="shared" si="143"/>
        <v>0</v>
      </c>
      <c r="V82" s="668">
        <f t="shared" si="126"/>
        <v>0.70848198030437826</v>
      </c>
      <c r="W82" s="651">
        <f t="shared" si="114"/>
        <v>0.2</v>
      </c>
      <c r="X82" s="651">
        <f t="shared" si="127"/>
        <v>0</v>
      </c>
      <c r="Y82" s="651">
        <f t="shared" si="128"/>
        <v>1</v>
      </c>
      <c r="Z82" s="651">
        <f t="shared" si="129"/>
        <v>1</v>
      </c>
      <c r="AA82" s="650" t="str">
        <f t="shared" si="130"/>
        <v>No</v>
      </c>
      <c r="AB82" s="669">
        <f t="shared" si="144"/>
        <v>0</v>
      </c>
      <c r="AC82" s="668">
        <f t="shared" si="131"/>
        <v>0.73155664196306502</v>
      </c>
      <c r="AD82" s="651">
        <f t="shared" si="115"/>
        <v>0.1</v>
      </c>
      <c r="AE82" s="651">
        <f t="shared" si="132"/>
        <v>0</v>
      </c>
      <c r="AF82" s="651">
        <f t="shared" si="133"/>
        <v>0</v>
      </c>
      <c r="AG82" s="651">
        <f t="shared" si="134"/>
        <v>0</v>
      </c>
      <c r="AH82" s="651" t="str">
        <f t="shared" si="135"/>
        <v>No</v>
      </c>
      <c r="AI82" s="669">
        <f t="shared" si="145"/>
        <v>0</v>
      </c>
      <c r="AJ82" s="674">
        <f t="shared" si="136"/>
        <v>0.73888696781805829</v>
      </c>
      <c r="AK82" s="654">
        <f t="shared" si="137"/>
        <v>6.1666666666666703E-2</v>
      </c>
      <c r="AL82" s="654">
        <f t="shared" si="138"/>
        <v>0</v>
      </c>
      <c r="AM82" s="654">
        <f t="shared" si="139"/>
        <v>0</v>
      </c>
      <c r="AN82" s="654">
        <f t="shared" si="140"/>
        <v>0</v>
      </c>
      <c r="AO82" s="654" t="str">
        <f t="shared" si="141"/>
        <v>No</v>
      </c>
      <c r="AP82" s="655">
        <f t="shared" si="146"/>
        <v>0</v>
      </c>
    </row>
    <row r="83" spans="1:42" ht="15">
      <c r="A83" s="777" t="s">
        <v>119</v>
      </c>
      <c r="B83" s="643">
        <v>29</v>
      </c>
      <c r="C83" s="766">
        <v>99</v>
      </c>
      <c r="D83" s="659">
        <v>2.5</v>
      </c>
      <c r="E83" s="660">
        <v>0.638080539702512</v>
      </c>
      <c r="F83" s="661">
        <v>0.18</v>
      </c>
      <c r="G83" s="688">
        <v>1</v>
      </c>
      <c r="H83" s="668">
        <f t="shared" si="116"/>
        <v>0.58246616586867395</v>
      </c>
      <c r="I83" s="651">
        <v>0.5</v>
      </c>
      <c r="J83" s="651">
        <f t="shared" si="117"/>
        <v>1</v>
      </c>
      <c r="K83" s="651">
        <f t="shared" si="118"/>
        <v>1</v>
      </c>
      <c r="L83" s="651">
        <f t="shared" si="119"/>
        <v>2</v>
      </c>
      <c r="M83" s="651" t="str">
        <f t="shared" si="120"/>
        <v>Yes</v>
      </c>
      <c r="N83" s="669">
        <f>IF(T83="yes",0,IF(M83="yes",1,0))</f>
        <v>1</v>
      </c>
      <c r="O83" s="668">
        <f t="shared" si="121"/>
        <v>0.67935979981532213</v>
      </c>
      <c r="P83" s="651">
        <f t="shared" si="113"/>
        <v>0.3</v>
      </c>
      <c r="Q83" s="651">
        <f t="shared" si="122"/>
        <v>0</v>
      </c>
      <c r="R83" s="651">
        <f t="shared" si="123"/>
        <v>1</v>
      </c>
      <c r="S83" s="651">
        <f t="shared" si="124"/>
        <v>1</v>
      </c>
      <c r="T83" s="651" t="str">
        <f t="shared" si="125"/>
        <v>No</v>
      </c>
      <c r="U83" s="669">
        <f t="shared" si="143"/>
        <v>0</v>
      </c>
      <c r="V83" s="668">
        <f t="shared" si="126"/>
        <v>0.70848198030437826</v>
      </c>
      <c r="W83" s="651">
        <f t="shared" si="114"/>
        <v>0.2</v>
      </c>
      <c r="X83" s="651">
        <f t="shared" si="127"/>
        <v>0</v>
      </c>
      <c r="Y83" s="651">
        <f t="shared" si="128"/>
        <v>1</v>
      </c>
      <c r="Z83" s="651">
        <f t="shared" si="129"/>
        <v>1</v>
      </c>
      <c r="AA83" s="650" t="str">
        <f t="shared" si="130"/>
        <v>No</v>
      </c>
      <c r="AB83" s="669">
        <f t="shared" si="144"/>
        <v>0</v>
      </c>
      <c r="AC83" s="668">
        <f t="shared" si="131"/>
        <v>0.73155664196306502</v>
      </c>
      <c r="AD83" s="651">
        <f t="shared" si="115"/>
        <v>0.1</v>
      </c>
      <c r="AE83" s="651">
        <f t="shared" si="132"/>
        <v>0</v>
      </c>
      <c r="AF83" s="651">
        <f t="shared" si="133"/>
        <v>0</v>
      </c>
      <c r="AG83" s="651">
        <f t="shared" si="134"/>
        <v>0</v>
      </c>
      <c r="AH83" s="651" t="str">
        <f t="shared" si="135"/>
        <v>No</v>
      </c>
      <c r="AI83" s="669">
        <f t="shared" si="145"/>
        <v>0</v>
      </c>
      <c r="AJ83" s="674">
        <f t="shared" si="136"/>
        <v>0.73888696781805829</v>
      </c>
      <c r="AK83" s="654">
        <f t="shared" si="137"/>
        <v>6.1666666666666703E-2</v>
      </c>
      <c r="AL83" s="654">
        <f t="shared" si="138"/>
        <v>0</v>
      </c>
      <c r="AM83" s="654">
        <f t="shared" si="139"/>
        <v>0</v>
      </c>
      <c r="AN83" s="654">
        <f t="shared" si="140"/>
        <v>0</v>
      </c>
      <c r="AO83" s="654" t="str">
        <f t="shared" si="141"/>
        <v>No</v>
      </c>
      <c r="AP83" s="655">
        <f t="shared" si="146"/>
        <v>0</v>
      </c>
    </row>
    <row r="84" spans="1:42" ht="15">
      <c r="A84" s="777" t="s">
        <v>119</v>
      </c>
      <c r="B84" s="643">
        <v>29</v>
      </c>
      <c r="C84" s="766">
        <v>100</v>
      </c>
      <c r="D84" s="659">
        <v>2.5</v>
      </c>
      <c r="E84" s="660">
        <v>0.64892125771218123</v>
      </c>
      <c r="F84" s="661">
        <v>0.18</v>
      </c>
      <c r="G84" s="688">
        <v>1</v>
      </c>
      <c r="H84" s="668">
        <f t="shared" si="116"/>
        <v>0.58246616586867395</v>
      </c>
      <c r="I84" s="651">
        <v>0.5</v>
      </c>
      <c r="J84" s="651">
        <f t="shared" si="117"/>
        <v>1</v>
      </c>
      <c r="K84" s="651">
        <f t="shared" si="118"/>
        <v>1</v>
      </c>
      <c r="L84" s="651">
        <f t="shared" si="119"/>
        <v>2</v>
      </c>
      <c r="M84" s="651" t="str">
        <f t="shared" si="120"/>
        <v>Yes</v>
      </c>
      <c r="N84" s="669">
        <f t="shared" ref="N84:N119" si="147">IF(T84="yes",0,IF(M84="yes",1,0))</f>
        <v>1</v>
      </c>
      <c r="O84" s="668">
        <f t="shared" si="121"/>
        <v>0.67935979981532213</v>
      </c>
      <c r="P84" s="651">
        <f t="shared" si="113"/>
        <v>0.3</v>
      </c>
      <c r="Q84" s="651">
        <f t="shared" si="122"/>
        <v>0</v>
      </c>
      <c r="R84" s="651">
        <f t="shared" si="123"/>
        <v>1</v>
      </c>
      <c r="S84" s="651">
        <f t="shared" si="124"/>
        <v>1</v>
      </c>
      <c r="T84" s="651" t="str">
        <f t="shared" si="125"/>
        <v>No</v>
      </c>
      <c r="U84" s="669">
        <f t="shared" si="143"/>
        <v>0</v>
      </c>
      <c r="V84" s="668">
        <f t="shared" si="126"/>
        <v>0.70848198030437826</v>
      </c>
      <c r="W84" s="651">
        <f t="shared" si="114"/>
        <v>0.2</v>
      </c>
      <c r="X84" s="651">
        <f t="shared" si="127"/>
        <v>0</v>
      </c>
      <c r="Y84" s="651">
        <f t="shared" si="128"/>
        <v>1</v>
      </c>
      <c r="Z84" s="651">
        <f t="shared" si="129"/>
        <v>1</v>
      </c>
      <c r="AA84" s="650" t="str">
        <f t="shared" si="130"/>
        <v>No</v>
      </c>
      <c r="AB84" s="669">
        <f t="shared" si="144"/>
        <v>0</v>
      </c>
      <c r="AC84" s="668">
        <f t="shared" si="131"/>
        <v>0.73155664196306502</v>
      </c>
      <c r="AD84" s="651">
        <f t="shared" si="115"/>
        <v>0.1</v>
      </c>
      <c r="AE84" s="651">
        <f t="shared" si="132"/>
        <v>0</v>
      </c>
      <c r="AF84" s="651">
        <f t="shared" si="133"/>
        <v>0</v>
      </c>
      <c r="AG84" s="651">
        <f t="shared" si="134"/>
        <v>0</v>
      </c>
      <c r="AH84" s="651" t="str">
        <f t="shared" si="135"/>
        <v>No</v>
      </c>
      <c r="AI84" s="669">
        <f t="shared" si="145"/>
        <v>0</v>
      </c>
      <c r="AJ84" s="674">
        <f t="shared" si="136"/>
        <v>0.73888696781805829</v>
      </c>
      <c r="AK84" s="654">
        <f t="shared" si="137"/>
        <v>6.1666666666666703E-2</v>
      </c>
      <c r="AL84" s="654">
        <f t="shared" si="138"/>
        <v>0</v>
      </c>
      <c r="AM84" s="654">
        <f t="shared" si="139"/>
        <v>0</v>
      </c>
      <c r="AN84" s="654">
        <f t="shared" si="140"/>
        <v>0</v>
      </c>
      <c r="AO84" s="654" t="str">
        <f t="shared" si="141"/>
        <v>No</v>
      </c>
      <c r="AP84" s="655">
        <f t="shared" si="146"/>
        <v>0</v>
      </c>
    </row>
    <row r="85" spans="1:42" ht="15">
      <c r="A85" s="777" t="s">
        <v>119</v>
      </c>
      <c r="B85" s="643">
        <v>29</v>
      </c>
      <c r="C85" s="766">
        <v>102</v>
      </c>
      <c r="D85" s="659">
        <v>2.5</v>
      </c>
      <c r="E85" s="660">
        <v>0.69162467633449765</v>
      </c>
      <c r="F85" s="661">
        <v>0.14799999999999999</v>
      </c>
      <c r="G85" s="688">
        <v>1</v>
      </c>
      <c r="H85" s="668">
        <f t="shared" si="116"/>
        <v>0.58246616586867395</v>
      </c>
      <c r="I85" s="651">
        <v>0.5</v>
      </c>
      <c r="J85" s="651">
        <f t="shared" si="117"/>
        <v>1</v>
      </c>
      <c r="K85" s="651">
        <f t="shared" si="118"/>
        <v>1</v>
      </c>
      <c r="L85" s="651">
        <f t="shared" si="119"/>
        <v>2</v>
      </c>
      <c r="M85" s="651" t="str">
        <f t="shared" si="120"/>
        <v>Yes</v>
      </c>
      <c r="N85" s="669">
        <f t="shared" si="147"/>
        <v>0</v>
      </c>
      <c r="O85" s="668">
        <f t="shared" si="121"/>
        <v>0.67935979981532213</v>
      </c>
      <c r="P85" s="651">
        <f t="shared" si="113"/>
        <v>0.3</v>
      </c>
      <c r="Q85" s="651">
        <f t="shared" si="122"/>
        <v>1</v>
      </c>
      <c r="R85" s="651">
        <f t="shared" si="123"/>
        <v>1</v>
      </c>
      <c r="S85" s="651">
        <f t="shared" si="124"/>
        <v>2</v>
      </c>
      <c r="T85" s="651" t="str">
        <f t="shared" si="125"/>
        <v>Yes</v>
      </c>
      <c r="U85" s="669">
        <f t="shared" si="143"/>
        <v>1</v>
      </c>
      <c r="V85" s="668">
        <f t="shared" si="126"/>
        <v>0.70848198030437826</v>
      </c>
      <c r="W85" s="651">
        <f t="shared" si="114"/>
        <v>0.2</v>
      </c>
      <c r="X85" s="651">
        <f t="shared" si="127"/>
        <v>0</v>
      </c>
      <c r="Y85" s="651">
        <f t="shared" si="128"/>
        <v>1</v>
      </c>
      <c r="Z85" s="651">
        <f t="shared" si="129"/>
        <v>1</v>
      </c>
      <c r="AA85" s="650" t="str">
        <f t="shared" si="130"/>
        <v>No</v>
      </c>
      <c r="AB85" s="669">
        <f t="shared" si="144"/>
        <v>0</v>
      </c>
      <c r="AC85" s="668">
        <f t="shared" si="131"/>
        <v>0.73155664196306502</v>
      </c>
      <c r="AD85" s="651">
        <f t="shared" si="115"/>
        <v>0.1</v>
      </c>
      <c r="AE85" s="651">
        <f t="shared" si="132"/>
        <v>0</v>
      </c>
      <c r="AF85" s="651">
        <f t="shared" si="133"/>
        <v>0</v>
      </c>
      <c r="AG85" s="651">
        <f t="shared" si="134"/>
        <v>0</v>
      </c>
      <c r="AH85" s="651" t="str">
        <f t="shared" si="135"/>
        <v>No</v>
      </c>
      <c r="AI85" s="669">
        <f t="shared" si="145"/>
        <v>0</v>
      </c>
      <c r="AJ85" s="674">
        <f t="shared" si="136"/>
        <v>0.73888696781805829</v>
      </c>
      <c r="AK85" s="654">
        <f t="shared" si="137"/>
        <v>6.1666666666666703E-2</v>
      </c>
      <c r="AL85" s="654">
        <f t="shared" si="138"/>
        <v>0</v>
      </c>
      <c r="AM85" s="654">
        <f t="shared" si="139"/>
        <v>0</v>
      </c>
      <c r="AN85" s="654">
        <f t="shared" si="140"/>
        <v>0</v>
      </c>
      <c r="AO85" s="654" t="str">
        <f t="shared" si="141"/>
        <v>No</v>
      </c>
      <c r="AP85" s="655">
        <f t="shared" si="146"/>
        <v>0</v>
      </c>
    </row>
    <row r="86" spans="1:42" ht="15">
      <c r="A86" s="777" t="s">
        <v>119</v>
      </c>
      <c r="B86" s="643">
        <v>29</v>
      </c>
      <c r="C86" s="766">
        <v>103</v>
      </c>
      <c r="D86" s="659">
        <v>2.5</v>
      </c>
      <c r="E86" s="660">
        <v>0.58410446430115315</v>
      </c>
      <c r="F86" s="661">
        <v>0.15</v>
      </c>
      <c r="G86" s="688">
        <v>1</v>
      </c>
      <c r="H86" s="668">
        <f t="shared" si="116"/>
        <v>0.58246616586867395</v>
      </c>
      <c r="I86" s="651">
        <v>0.5</v>
      </c>
      <c r="J86" s="651">
        <f t="shared" si="117"/>
        <v>1</v>
      </c>
      <c r="K86" s="651">
        <f t="shared" si="118"/>
        <v>1</v>
      </c>
      <c r="L86" s="651">
        <f t="shared" si="119"/>
        <v>2</v>
      </c>
      <c r="M86" s="651" t="str">
        <f t="shared" si="120"/>
        <v>Yes</v>
      </c>
      <c r="N86" s="669">
        <f t="shared" si="147"/>
        <v>1</v>
      </c>
      <c r="O86" s="668">
        <f t="shared" si="121"/>
        <v>0.67935979981532213</v>
      </c>
      <c r="P86" s="651">
        <f t="shared" si="113"/>
        <v>0.3</v>
      </c>
      <c r="Q86" s="651">
        <f t="shared" si="122"/>
        <v>0</v>
      </c>
      <c r="R86" s="651">
        <f t="shared" si="123"/>
        <v>1</v>
      </c>
      <c r="S86" s="651">
        <f t="shared" si="124"/>
        <v>1</v>
      </c>
      <c r="T86" s="651" t="str">
        <f t="shared" si="125"/>
        <v>No</v>
      </c>
      <c r="U86" s="669">
        <f t="shared" si="143"/>
        <v>0</v>
      </c>
      <c r="V86" s="668">
        <f t="shared" si="126"/>
        <v>0.70848198030437826</v>
      </c>
      <c r="W86" s="651">
        <f t="shared" si="114"/>
        <v>0.2</v>
      </c>
      <c r="X86" s="651">
        <f t="shared" si="127"/>
        <v>0</v>
      </c>
      <c r="Y86" s="651">
        <f t="shared" si="128"/>
        <v>1</v>
      </c>
      <c r="Z86" s="651">
        <f t="shared" si="129"/>
        <v>1</v>
      </c>
      <c r="AA86" s="650" t="str">
        <f t="shared" si="130"/>
        <v>No</v>
      </c>
      <c r="AB86" s="669">
        <f t="shared" si="144"/>
        <v>0</v>
      </c>
      <c r="AC86" s="668">
        <f t="shared" si="131"/>
        <v>0.73155664196306502</v>
      </c>
      <c r="AD86" s="651">
        <f t="shared" si="115"/>
        <v>0.1</v>
      </c>
      <c r="AE86" s="651">
        <f t="shared" si="132"/>
        <v>0</v>
      </c>
      <c r="AF86" s="651">
        <f t="shared" si="133"/>
        <v>0</v>
      </c>
      <c r="AG86" s="651">
        <f t="shared" si="134"/>
        <v>0</v>
      </c>
      <c r="AH86" s="651" t="str">
        <f t="shared" si="135"/>
        <v>No</v>
      </c>
      <c r="AI86" s="669">
        <f t="shared" si="145"/>
        <v>0</v>
      </c>
      <c r="AJ86" s="674">
        <f t="shared" si="136"/>
        <v>0.73888696781805829</v>
      </c>
      <c r="AK86" s="654">
        <f t="shared" si="137"/>
        <v>6.1666666666666703E-2</v>
      </c>
      <c r="AL86" s="654">
        <f t="shared" si="138"/>
        <v>0</v>
      </c>
      <c r="AM86" s="654">
        <f t="shared" si="139"/>
        <v>0</v>
      </c>
      <c r="AN86" s="654">
        <f t="shared" si="140"/>
        <v>0</v>
      </c>
      <c r="AO86" s="654" t="str">
        <f t="shared" si="141"/>
        <v>No</v>
      </c>
      <c r="AP86" s="655">
        <f t="shared" si="146"/>
        <v>0</v>
      </c>
    </row>
    <row r="87" spans="1:42" ht="15">
      <c r="A87" s="777" t="s">
        <v>119</v>
      </c>
      <c r="B87" s="643">
        <v>29</v>
      </c>
      <c r="C87" s="766">
        <v>104</v>
      </c>
      <c r="D87" s="659">
        <v>2.5</v>
      </c>
      <c r="E87" s="660">
        <v>0.58233091443478457</v>
      </c>
      <c r="F87" s="661">
        <v>0.14000000000000001</v>
      </c>
      <c r="G87" s="688">
        <v>1</v>
      </c>
      <c r="H87" s="668">
        <f t="shared" si="116"/>
        <v>0.58246616586867395</v>
      </c>
      <c r="I87" s="651">
        <v>0.5</v>
      </c>
      <c r="J87" s="651">
        <f t="shared" si="117"/>
        <v>0</v>
      </c>
      <c r="K87" s="651">
        <f t="shared" si="118"/>
        <v>1</v>
      </c>
      <c r="L87" s="651">
        <f t="shared" si="119"/>
        <v>1</v>
      </c>
      <c r="M87" s="651" t="str">
        <f t="shared" si="120"/>
        <v>No</v>
      </c>
      <c r="N87" s="669">
        <f t="shared" si="147"/>
        <v>0</v>
      </c>
      <c r="O87" s="668">
        <f t="shared" si="121"/>
        <v>0.67935979981532213</v>
      </c>
      <c r="P87" s="651">
        <f t="shared" si="113"/>
        <v>0.3</v>
      </c>
      <c r="Q87" s="651">
        <f t="shared" si="122"/>
        <v>0</v>
      </c>
      <c r="R87" s="651">
        <f t="shared" si="123"/>
        <v>1</v>
      </c>
      <c r="S87" s="651">
        <f t="shared" si="124"/>
        <v>1</v>
      </c>
      <c r="T87" s="651" t="str">
        <f t="shared" si="125"/>
        <v>No</v>
      </c>
      <c r="U87" s="669">
        <f t="shared" si="143"/>
        <v>0</v>
      </c>
      <c r="V87" s="668">
        <f t="shared" si="126"/>
        <v>0.70848198030437826</v>
      </c>
      <c r="W87" s="651">
        <f t="shared" si="114"/>
        <v>0.2</v>
      </c>
      <c r="X87" s="651">
        <f t="shared" si="127"/>
        <v>0</v>
      </c>
      <c r="Y87" s="651">
        <f t="shared" si="128"/>
        <v>1</v>
      </c>
      <c r="Z87" s="651">
        <f t="shared" si="129"/>
        <v>1</v>
      </c>
      <c r="AA87" s="650" t="str">
        <f t="shared" si="130"/>
        <v>No</v>
      </c>
      <c r="AB87" s="669">
        <f t="shared" si="144"/>
        <v>0</v>
      </c>
      <c r="AC87" s="668">
        <f t="shared" si="131"/>
        <v>0.73155664196306502</v>
      </c>
      <c r="AD87" s="651">
        <f t="shared" si="115"/>
        <v>0.1</v>
      </c>
      <c r="AE87" s="651">
        <f t="shared" si="132"/>
        <v>0</v>
      </c>
      <c r="AF87" s="651">
        <f t="shared" si="133"/>
        <v>0</v>
      </c>
      <c r="AG87" s="651">
        <f t="shared" si="134"/>
        <v>0</v>
      </c>
      <c r="AH87" s="651" t="str">
        <f t="shared" si="135"/>
        <v>No</v>
      </c>
      <c r="AI87" s="669">
        <f t="shared" si="145"/>
        <v>0</v>
      </c>
      <c r="AJ87" s="674">
        <f t="shared" si="136"/>
        <v>0.73888696781805829</v>
      </c>
      <c r="AK87" s="654">
        <f t="shared" si="137"/>
        <v>6.1666666666666703E-2</v>
      </c>
      <c r="AL87" s="654">
        <f t="shared" si="138"/>
        <v>0</v>
      </c>
      <c r="AM87" s="654">
        <f t="shared" si="139"/>
        <v>0</v>
      </c>
      <c r="AN87" s="654">
        <f t="shared" si="140"/>
        <v>0</v>
      </c>
      <c r="AO87" s="654" t="str">
        <f t="shared" si="141"/>
        <v>No</v>
      </c>
      <c r="AP87" s="655">
        <f t="shared" si="146"/>
        <v>0</v>
      </c>
    </row>
    <row r="88" spans="1:42" ht="15">
      <c r="A88" s="778" t="s">
        <v>119</v>
      </c>
      <c r="B88" s="644">
        <v>29</v>
      </c>
      <c r="C88" s="767">
        <v>105</v>
      </c>
      <c r="D88" s="665">
        <v>2.5</v>
      </c>
      <c r="E88" s="687">
        <v>0.59224053439610502</v>
      </c>
      <c r="F88" s="667">
        <v>0.14000000000000001</v>
      </c>
      <c r="G88" s="720">
        <v>1</v>
      </c>
      <c r="H88" s="672">
        <f t="shared" si="116"/>
        <v>0.58246616586867395</v>
      </c>
      <c r="I88" s="653">
        <v>0.5</v>
      </c>
      <c r="J88" s="653">
        <f t="shared" si="117"/>
        <v>1</v>
      </c>
      <c r="K88" s="653">
        <f t="shared" si="118"/>
        <v>1</v>
      </c>
      <c r="L88" s="653">
        <f t="shared" si="119"/>
        <v>2</v>
      </c>
      <c r="M88" s="653" t="str">
        <f t="shared" si="120"/>
        <v>Yes</v>
      </c>
      <c r="N88" s="673">
        <f t="shared" si="147"/>
        <v>1</v>
      </c>
      <c r="O88" s="672">
        <f t="shared" si="121"/>
        <v>0.67935979981532213</v>
      </c>
      <c r="P88" s="653">
        <f t="shared" si="113"/>
        <v>0.3</v>
      </c>
      <c r="Q88" s="653">
        <f t="shared" si="122"/>
        <v>0</v>
      </c>
      <c r="R88" s="653">
        <f t="shared" si="123"/>
        <v>1</v>
      </c>
      <c r="S88" s="653">
        <f t="shared" si="124"/>
        <v>1</v>
      </c>
      <c r="T88" s="653" t="str">
        <f t="shared" si="125"/>
        <v>No</v>
      </c>
      <c r="U88" s="673">
        <f t="shared" si="143"/>
        <v>0</v>
      </c>
      <c r="V88" s="672">
        <f t="shared" si="126"/>
        <v>0.70848198030437826</v>
      </c>
      <c r="W88" s="653">
        <f t="shared" si="114"/>
        <v>0.2</v>
      </c>
      <c r="X88" s="653">
        <f t="shared" si="127"/>
        <v>0</v>
      </c>
      <c r="Y88" s="653">
        <f t="shared" si="128"/>
        <v>1</v>
      </c>
      <c r="Z88" s="653">
        <f t="shared" si="129"/>
        <v>1</v>
      </c>
      <c r="AA88" s="652" t="str">
        <f t="shared" si="130"/>
        <v>No</v>
      </c>
      <c r="AB88" s="673">
        <f t="shared" si="144"/>
        <v>0</v>
      </c>
      <c r="AC88" s="672">
        <f t="shared" si="131"/>
        <v>0.73155664196306502</v>
      </c>
      <c r="AD88" s="653">
        <f t="shared" si="115"/>
        <v>0.1</v>
      </c>
      <c r="AE88" s="653">
        <f t="shared" si="132"/>
        <v>0</v>
      </c>
      <c r="AF88" s="653">
        <f t="shared" si="133"/>
        <v>0</v>
      </c>
      <c r="AG88" s="653">
        <f t="shared" si="134"/>
        <v>0</v>
      </c>
      <c r="AH88" s="653" t="str">
        <f t="shared" si="135"/>
        <v>No</v>
      </c>
      <c r="AI88" s="673">
        <f t="shared" si="145"/>
        <v>0</v>
      </c>
      <c r="AJ88" s="677">
        <f t="shared" si="136"/>
        <v>0.73888696781805829</v>
      </c>
      <c r="AK88" s="657">
        <f t="shared" si="137"/>
        <v>6.1666666666666703E-2</v>
      </c>
      <c r="AL88" s="657">
        <f t="shared" si="138"/>
        <v>0</v>
      </c>
      <c r="AM88" s="657">
        <f t="shared" si="139"/>
        <v>0</v>
      </c>
      <c r="AN88" s="657">
        <f t="shared" si="140"/>
        <v>0</v>
      </c>
      <c r="AO88" s="657" t="str">
        <f t="shared" si="141"/>
        <v>No</v>
      </c>
      <c r="AP88" s="658">
        <f t="shared" si="146"/>
        <v>0</v>
      </c>
    </row>
    <row r="89" spans="1:42" ht="15">
      <c r="A89" s="795" t="s">
        <v>184</v>
      </c>
      <c r="B89" s="643">
        <v>32</v>
      </c>
      <c r="C89" s="766">
        <v>15</v>
      </c>
      <c r="D89" s="659">
        <v>3.25</v>
      </c>
      <c r="E89" s="660">
        <v>0.72973620004196194</v>
      </c>
      <c r="F89" s="661">
        <v>0.08</v>
      </c>
      <c r="G89" s="688">
        <v>1</v>
      </c>
      <c r="H89" s="668">
        <f t="shared" ref="H89:H104" si="148">IF($D89&lt;=1,0.5*$D89,IF($D89&lt;=51,0.09*LN($D89)+0.5,0.85))</f>
        <v>0.60607894967074816</v>
      </c>
      <c r="I89" s="651">
        <v>0.5</v>
      </c>
      <c r="J89" s="651">
        <f t="shared" ref="J89:J104" si="149">IF($E89&gt;H89,1,0)</f>
        <v>1</v>
      </c>
      <c r="K89" s="651">
        <f t="shared" ref="K89:K104" si="150">IF(I89&gt;$F89,1,0)</f>
        <v>1</v>
      </c>
      <c r="L89" s="651">
        <f t="shared" ref="L89:L104" si="151">SUM(J89:K89)</f>
        <v>2</v>
      </c>
      <c r="M89" s="651" t="str">
        <f t="shared" ref="M89:M104" si="152">IF(L89=2,"Yes","No")</f>
        <v>Yes</v>
      </c>
      <c r="N89" s="669">
        <f t="shared" si="147"/>
        <v>0</v>
      </c>
      <c r="O89" s="668">
        <f t="shared" ref="O89:O104" si="153">IF($D89&lt;=1,0.48*$D89+0.14,IF($D89&lt;=49,0.0626*LN($D89)+0.622,0.87))</f>
        <v>0.69578380277098706</v>
      </c>
      <c r="P89" s="651">
        <f t="shared" si="113"/>
        <v>0.3</v>
      </c>
      <c r="Q89" s="651">
        <f t="shared" ref="Q89:Q104" si="154">IF($E89&gt;O89,1,0)</f>
        <v>1</v>
      </c>
      <c r="R89" s="651">
        <f t="shared" ref="R89:R104" si="155">IF(P89&gt;$F89,1,0)</f>
        <v>1</v>
      </c>
      <c r="S89" s="651">
        <f t="shared" ref="S89:S104" si="156">SUM(Q89:R89)</f>
        <v>2</v>
      </c>
      <c r="T89" s="651" t="str">
        <f t="shared" ref="T89:T104" si="157">IF(S89=2,"Yes","No")</f>
        <v>Yes</v>
      </c>
      <c r="U89" s="669">
        <f t="shared" si="143"/>
        <v>0</v>
      </c>
      <c r="V89" s="668">
        <f t="shared" ref="V89:V104" si="158">IF($D89&lt;=1,0.49*$D89+0.15,IF($D89&lt;=49,0.0701*LN($D89)-0.0011*$D89+0.647,0.87))</f>
        <v>0.72604871524354941</v>
      </c>
      <c r="W89" s="651">
        <f t="shared" si="114"/>
        <v>0.2</v>
      </c>
      <c r="X89" s="651">
        <f t="shared" ref="X89:X104" si="159">IF($E89&gt;V89,1,0)</f>
        <v>1</v>
      </c>
      <c r="Y89" s="651">
        <f t="shared" ref="Y89:Y104" si="160">IF(W89&gt;$F89,1,0)</f>
        <v>1</v>
      </c>
      <c r="Z89" s="651">
        <f t="shared" ref="Z89:Z104" si="161">SUM(X89:Y89)</f>
        <v>2</v>
      </c>
      <c r="AA89" s="650" t="str">
        <f t="shared" ref="AA89:AA104" si="162">IF(Z89=2,"Yes","No")</f>
        <v>Yes</v>
      </c>
      <c r="AB89" s="669">
        <f t="shared" si="144"/>
        <v>1</v>
      </c>
      <c r="AC89" s="668">
        <f t="shared" ref="AC89:AC104" si="163">IF($D89&lt;=1,0.5*$D89+0.16,IF($D89&lt;=49,0.071*LN($D89)-0.0014*$D89+0.67,0.879779149034727))</f>
        <v>0.74913450474025689</v>
      </c>
      <c r="AD89" s="651">
        <f t="shared" si="115"/>
        <v>0.1</v>
      </c>
      <c r="AE89" s="651">
        <f t="shared" ref="AE89:AE104" si="164">IF($E89&gt;AC89,1,0)</f>
        <v>0</v>
      </c>
      <c r="AF89" s="651">
        <f t="shared" ref="AF89:AF104" si="165">IF(AD89&gt;$F89,1,0)</f>
        <v>1</v>
      </c>
      <c r="AG89" s="651">
        <f t="shared" ref="AG89:AG104" si="166">SUM(AE89:AF89)</f>
        <v>1</v>
      </c>
      <c r="AH89" s="651" t="str">
        <f t="shared" ref="AH89:AH104" si="167">IF(AG89=2,"Yes","No")</f>
        <v>No</v>
      </c>
      <c r="AI89" s="669">
        <f t="shared" si="145"/>
        <v>0</v>
      </c>
      <c r="AJ89" s="674">
        <f t="shared" ref="AJ89:AJ104" si="168">IF($D89&lt;=1,0.52*$D89+0.17,IF($D89&lt;=49,0.079*LN($D89)-0.0014*$D89+0.67,0.9104))</f>
        <v>0.75856374471099008</v>
      </c>
      <c r="AK89" s="654">
        <f t="shared" ref="AK89:AK104" si="169">IF($D89&lt;49,0.0616666666666667,0.165)</f>
        <v>6.1666666666666703E-2</v>
      </c>
      <c r="AL89" s="654">
        <f t="shared" ref="AL89:AL104" si="170">IF($E89&gt;AJ89,1,0)</f>
        <v>0</v>
      </c>
      <c r="AM89" s="654">
        <f t="shared" ref="AM89:AM104" si="171">IF(AK89&gt;$F89,1,0)</f>
        <v>0</v>
      </c>
      <c r="AN89" s="654">
        <f t="shared" ref="AN89:AN104" si="172">SUM(AL89:AM89)</f>
        <v>0</v>
      </c>
      <c r="AO89" s="654" t="str">
        <f t="shared" ref="AO89:AO104" si="173">IF(AN89=2,"Yes","No")</f>
        <v>No</v>
      </c>
      <c r="AP89" s="655">
        <f t="shared" si="146"/>
        <v>0</v>
      </c>
    </row>
    <row r="90" spans="1:42" ht="15">
      <c r="A90" s="795" t="s">
        <v>184</v>
      </c>
      <c r="B90" s="643">
        <v>32</v>
      </c>
      <c r="C90" s="766">
        <v>16</v>
      </c>
      <c r="D90" s="659">
        <v>1.9</v>
      </c>
      <c r="E90" s="660">
        <v>0.59746656193742265</v>
      </c>
      <c r="F90" s="661">
        <v>0.30399999999999999</v>
      </c>
      <c r="G90" s="688">
        <v>1</v>
      </c>
      <c r="H90" s="668">
        <f t="shared" si="148"/>
        <v>0.55776684975551549</v>
      </c>
      <c r="I90" s="651">
        <v>0.5</v>
      </c>
      <c r="J90" s="651">
        <f t="shared" si="149"/>
        <v>1</v>
      </c>
      <c r="K90" s="651">
        <f t="shared" si="150"/>
        <v>1</v>
      </c>
      <c r="L90" s="651">
        <f t="shared" si="151"/>
        <v>2</v>
      </c>
      <c r="M90" s="651" t="str">
        <f t="shared" si="152"/>
        <v>Yes</v>
      </c>
      <c r="N90" s="669">
        <f t="shared" si="147"/>
        <v>1</v>
      </c>
      <c r="O90" s="668">
        <f t="shared" si="153"/>
        <v>0.66218005327439189</v>
      </c>
      <c r="P90" s="651">
        <f t="shared" si="113"/>
        <v>0.3</v>
      </c>
      <c r="Q90" s="651">
        <f t="shared" si="154"/>
        <v>0</v>
      </c>
      <c r="R90" s="651">
        <f t="shared" si="155"/>
        <v>0</v>
      </c>
      <c r="S90" s="651">
        <f t="shared" si="156"/>
        <v>0</v>
      </c>
      <c r="T90" s="651" t="str">
        <f t="shared" si="157"/>
        <v>No</v>
      </c>
      <c r="U90" s="669">
        <f t="shared" si="143"/>
        <v>0</v>
      </c>
      <c r="V90" s="668">
        <f t="shared" si="158"/>
        <v>0.68990395742068489</v>
      </c>
      <c r="W90" s="651">
        <f t="shared" si="114"/>
        <v>0.2</v>
      </c>
      <c r="X90" s="651">
        <f t="shared" si="159"/>
        <v>0</v>
      </c>
      <c r="Y90" s="651">
        <f t="shared" si="160"/>
        <v>0</v>
      </c>
      <c r="Z90" s="651">
        <f t="shared" si="161"/>
        <v>0</v>
      </c>
      <c r="AA90" s="650" t="str">
        <f t="shared" si="162"/>
        <v>No</v>
      </c>
      <c r="AB90" s="669">
        <f t="shared" si="144"/>
        <v>0</v>
      </c>
      <c r="AC90" s="668">
        <f t="shared" si="163"/>
        <v>0.71291162591824009</v>
      </c>
      <c r="AD90" s="651">
        <f t="shared" si="115"/>
        <v>0.1</v>
      </c>
      <c r="AE90" s="651">
        <f t="shared" si="164"/>
        <v>0</v>
      </c>
      <c r="AF90" s="651">
        <f t="shared" si="165"/>
        <v>0</v>
      </c>
      <c r="AG90" s="651">
        <f t="shared" si="166"/>
        <v>0</v>
      </c>
      <c r="AH90" s="651" t="str">
        <f t="shared" si="167"/>
        <v>No</v>
      </c>
      <c r="AI90" s="669">
        <f t="shared" si="145"/>
        <v>0</v>
      </c>
      <c r="AJ90" s="674">
        <f t="shared" si="168"/>
        <v>0.71804645700761927</v>
      </c>
      <c r="AK90" s="654">
        <f t="shared" si="169"/>
        <v>6.1666666666666703E-2</v>
      </c>
      <c r="AL90" s="654">
        <f t="shared" si="170"/>
        <v>0</v>
      </c>
      <c r="AM90" s="654">
        <f t="shared" si="171"/>
        <v>0</v>
      </c>
      <c r="AN90" s="654">
        <f t="shared" si="172"/>
        <v>0</v>
      </c>
      <c r="AO90" s="654" t="str">
        <f t="shared" si="173"/>
        <v>No</v>
      </c>
      <c r="AP90" s="655">
        <f t="shared" si="146"/>
        <v>0</v>
      </c>
    </row>
    <row r="91" spans="1:42" ht="15">
      <c r="A91" s="795" t="s">
        <v>184</v>
      </c>
      <c r="B91" s="643">
        <v>32</v>
      </c>
      <c r="C91" s="766">
        <v>17</v>
      </c>
      <c r="D91" s="659">
        <v>1.89</v>
      </c>
      <c r="E91" s="660">
        <v>0.60562050070987183</v>
      </c>
      <c r="F91" s="661">
        <v>0.29099999999999998</v>
      </c>
      <c r="G91" s="688">
        <v>1</v>
      </c>
      <c r="H91" s="668">
        <f t="shared" si="148"/>
        <v>0.55729191461643957</v>
      </c>
      <c r="I91" s="651">
        <v>0.5</v>
      </c>
      <c r="J91" s="651">
        <f t="shared" si="149"/>
        <v>1</v>
      </c>
      <c r="K91" s="651">
        <f t="shared" si="150"/>
        <v>1</v>
      </c>
      <c r="L91" s="651">
        <f t="shared" si="151"/>
        <v>2</v>
      </c>
      <c r="M91" s="651" t="str">
        <f t="shared" si="152"/>
        <v>Yes</v>
      </c>
      <c r="N91" s="669">
        <f t="shared" si="147"/>
        <v>1</v>
      </c>
      <c r="O91" s="668">
        <f t="shared" si="153"/>
        <v>0.66184970949987909</v>
      </c>
      <c r="P91" s="651">
        <f t="shared" si="113"/>
        <v>0.3</v>
      </c>
      <c r="Q91" s="651">
        <f t="shared" si="154"/>
        <v>0</v>
      </c>
      <c r="R91" s="651">
        <f t="shared" si="155"/>
        <v>1</v>
      </c>
      <c r="S91" s="651">
        <f t="shared" si="156"/>
        <v>1</v>
      </c>
      <c r="T91" s="651" t="str">
        <f t="shared" si="157"/>
        <v>No</v>
      </c>
      <c r="U91" s="669">
        <f t="shared" si="143"/>
        <v>0</v>
      </c>
      <c r="V91" s="668">
        <f t="shared" si="158"/>
        <v>0.6895450357179157</v>
      </c>
      <c r="W91" s="651">
        <f t="shared" si="114"/>
        <v>0.2</v>
      </c>
      <c r="X91" s="651">
        <f t="shared" si="159"/>
        <v>0</v>
      </c>
      <c r="Y91" s="651">
        <f t="shared" si="160"/>
        <v>0</v>
      </c>
      <c r="Z91" s="651">
        <f t="shared" si="161"/>
        <v>0</v>
      </c>
      <c r="AA91" s="650" t="str">
        <f t="shared" si="162"/>
        <v>No</v>
      </c>
      <c r="AB91" s="669">
        <f t="shared" si="144"/>
        <v>0</v>
      </c>
      <c r="AC91" s="668">
        <f t="shared" si="163"/>
        <v>0.71255095486408015</v>
      </c>
      <c r="AD91" s="651">
        <f t="shared" si="115"/>
        <v>0.1</v>
      </c>
      <c r="AE91" s="651">
        <f t="shared" si="164"/>
        <v>0</v>
      </c>
      <c r="AF91" s="651">
        <f t="shared" si="165"/>
        <v>0</v>
      </c>
      <c r="AG91" s="651">
        <f t="shared" si="166"/>
        <v>0</v>
      </c>
      <c r="AH91" s="651" t="str">
        <f t="shared" si="167"/>
        <v>No</v>
      </c>
      <c r="AI91" s="669">
        <f t="shared" si="145"/>
        <v>0</v>
      </c>
      <c r="AJ91" s="674">
        <f t="shared" si="168"/>
        <v>0.71764356949665253</v>
      </c>
      <c r="AK91" s="654">
        <f t="shared" si="169"/>
        <v>6.1666666666666703E-2</v>
      </c>
      <c r="AL91" s="654">
        <f t="shared" si="170"/>
        <v>0</v>
      </c>
      <c r="AM91" s="654">
        <f t="shared" si="171"/>
        <v>0</v>
      </c>
      <c r="AN91" s="654">
        <f t="shared" si="172"/>
        <v>0</v>
      </c>
      <c r="AO91" s="654" t="str">
        <f t="shared" si="173"/>
        <v>No</v>
      </c>
      <c r="AP91" s="655">
        <f t="shared" si="146"/>
        <v>0</v>
      </c>
    </row>
    <row r="92" spans="1:42" ht="15">
      <c r="A92" s="795" t="s">
        <v>184</v>
      </c>
      <c r="B92" s="643">
        <v>32</v>
      </c>
      <c r="C92" s="766">
        <v>18</v>
      </c>
      <c r="D92" s="659">
        <v>3.15</v>
      </c>
      <c r="E92" s="660">
        <v>0.65134715230508433</v>
      </c>
      <c r="F92" s="661">
        <v>0.4027</v>
      </c>
      <c r="G92" s="688">
        <v>1</v>
      </c>
      <c r="H92" s="668">
        <f t="shared" si="148"/>
        <v>0.60326622075537872</v>
      </c>
      <c r="I92" s="651">
        <v>0.5</v>
      </c>
      <c r="J92" s="651">
        <f t="shared" si="149"/>
        <v>1</v>
      </c>
      <c r="K92" s="651">
        <f t="shared" si="150"/>
        <v>1</v>
      </c>
      <c r="L92" s="651">
        <f t="shared" si="151"/>
        <v>2</v>
      </c>
      <c r="M92" s="651" t="str">
        <f t="shared" si="152"/>
        <v>Yes</v>
      </c>
      <c r="N92" s="669">
        <f t="shared" si="147"/>
        <v>1</v>
      </c>
      <c r="O92" s="668">
        <f t="shared" si="153"/>
        <v>0.69382739354763012</v>
      </c>
      <c r="P92" s="651">
        <f t="shared" si="113"/>
        <v>0.3</v>
      </c>
      <c r="Q92" s="651">
        <f t="shared" si="154"/>
        <v>0</v>
      </c>
      <c r="R92" s="651">
        <f t="shared" si="155"/>
        <v>0</v>
      </c>
      <c r="S92" s="651">
        <f t="shared" si="156"/>
        <v>0</v>
      </c>
      <c r="T92" s="651" t="str">
        <f t="shared" si="157"/>
        <v>No</v>
      </c>
      <c r="U92" s="669">
        <f t="shared" si="143"/>
        <v>0</v>
      </c>
      <c r="V92" s="668">
        <f t="shared" si="158"/>
        <v>0.72396791194391175</v>
      </c>
      <c r="W92" s="651">
        <f t="shared" si="114"/>
        <v>0.2</v>
      </c>
      <c r="X92" s="651">
        <f t="shared" si="159"/>
        <v>0</v>
      </c>
      <c r="Y92" s="651">
        <f t="shared" si="160"/>
        <v>0</v>
      </c>
      <c r="Z92" s="651">
        <f t="shared" si="161"/>
        <v>0</v>
      </c>
      <c r="AA92" s="650" t="str">
        <f t="shared" si="162"/>
        <v>No</v>
      </c>
      <c r="AB92" s="669">
        <f t="shared" si="144"/>
        <v>0</v>
      </c>
      <c r="AC92" s="668">
        <f t="shared" si="163"/>
        <v>0.74705557415146551</v>
      </c>
      <c r="AD92" s="651">
        <f t="shared" si="115"/>
        <v>0.1</v>
      </c>
      <c r="AE92" s="651">
        <f t="shared" si="164"/>
        <v>0</v>
      </c>
      <c r="AF92" s="651">
        <f t="shared" si="165"/>
        <v>0</v>
      </c>
      <c r="AG92" s="651">
        <f t="shared" si="166"/>
        <v>0</v>
      </c>
      <c r="AH92" s="651" t="str">
        <f t="shared" si="167"/>
        <v>No</v>
      </c>
      <c r="AI92" s="669">
        <f t="shared" si="145"/>
        <v>0</v>
      </c>
      <c r="AJ92" s="674">
        <f t="shared" si="168"/>
        <v>0.7562347937741658</v>
      </c>
      <c r="AK92" s="654">
        <f t="shared" si="169"/>
        <v>6.1666666666666703E-2</v>
      </c>
      <c r="AL92" s="654">
        <f t="shared" si="170"/>
        <v>0</v>
      </c>
      <c r="AM92" s="654">
        <f t="shared" si="171"/>
        <v>0</v>
      </c>
      <c r="AN92" s="654">
        <f t="shared" si="172"/>
        <v>0</v>
      </c>
      <c r="AO92" s="654" t="str">
        <f t="shared" si="173"/>
        <v>No</v>
      </c>
      <c r="AP92" s="655">
        <f t="shared" si="146"/>
        <v>0</v>
      </c>
    </row>
    <row r="93" spans="1:42" ht="15">
      <c r="A93" s="795" t="s">
        <v>184</v>
      </c>
      <c r="B93" s="643">
        <v>32</v>
      </c>
      <c r="C93" s="766">
        <v>19</v>
      </c>
      <c r="D93" s="659">
        <v>1.89</v>
      </c>
      <c r="E93" s="660">
        <v>0.46269575657076645</v>
      </c>
      <c r="F93" s="661">
        <v>0.67</v>
      </c>
      <c r="G93" s="688">
        <v>1</v>
      </c>
      <c r="H93" s="668">
        <f t="shared" si="148"/>
        <v>0.55729191461643957</v>
      </c>
      <c r="I93" s="651">
        <v>0.5</v>
      </c>
      <c r="J93" s="651">
        <f t="shared" si="149"/>
        <v>0</v>
      </c>
      <c r="K93" s="651">
        <f t="shared" si="150"/>
        <v>0</v>
      </c>
      <c r="L93" s="651">
        <f t="shared" si="151"/>
        <v>0</v>
      </c>
      <c r="M93" s="651" t="str">
        <f t="shared" si="152"/>
        <v>No</v>
      </c>
      <c r="N93" s="669">
        <f t="shared" si="147"/>
        <v>0</v>
      </c>
      <c r="O93" s="668">
        <f t="shared" si="153"/>
        <v>0.66184970949987909</v>
      </c>
      <c r="P93" s="651">
        <f t="shared" si="113"/>
        <v>0.3</v>
      </c>
      <c r="Q93" s="651">
        <f t="shared" si="154"/>
        <v>0</v>
      </c>
      <c r="R93" s="651">
        <f t="shared" si="155"/>
        <v>0</v>
      </c>
      <c r="S93" s="651">
        <f t="shared" si="156"/>
        <v>0</v>
      </c>
      <c r="T93" s="651" t="str">
        <f t="shared" si="157"/>
        <v>No</v>
      </c>
      <c r="U93" s="669">
        <f t="shared" si="143"/>
        <v>0</v>
      </c>
      <c r="V93" s="668">
        <f t="shared" si="158"/>
        <v>0.6895450357179157</v>
      </c>
      <c r="W93" s="651">
        <f t="shared" si="114"/>
        <v>0.2</v>
      </c>
      <c r="X93" s="651">
        <f t="shared" si="159"/>
        <v>0</v>
      </c>
      <c r="Y93" s="651">
        <f t="shared" si="160"/>
        <v>0</v>
      </c>
      <c r="Z93" s="651">
        <f t="shared" si="161"/>
        <v>0</v>
      </c>
      <c r="AA93" s="650" t="str">
        <f t="shared" si="162"/>
        <v>No</v>
      </c>
      <c r="AB93" s="669">
        <f t="shared" si="144"/>
        <v>0</v>
      </c>
      <c r="AC93" s="668">
        <f t="shared" si="163"/>
        <v>0.71255095486408015</v>
      </c>
      <c r="AD93" s="651">
        <f t="shared" si="115"/>
        <v>0.1</v>
      </c>
      <c r="AE93" s="651">
        <f t="shared" si="164"/>
        <v>0</v>
      </c>
      <c r="AF93" s="651">
        <f t="shared" si="165"/>
        <v>0</v>
      </c>
      <c r="AG93" s="651">
        <f t="shared" si="166"/>
        <v>0</v>
      </c>
      <c r="AH93" s="651" t="str">
        <f t="shared" si="167"/>
        <v>No</v>
      </c>
      <c r="AI93" s="669">
        <f t="shared" si="145"/>
        <v>0</v>
      </c>
      <c r="AJ93" s="674">
        <f t="shared" si="168"/>
        <v>0.71764356949665253</v>
      </c>
      <c r="AK93" s="654">
        <f t="shared" si="169"/>
        <v>6.1666666666666703E-2</v>
      </c>
      <c r="AL93" s="654">
        <f t="shared" si="170"/>
        <v>0</v>
      </c>
      <c r="AM93" s="654">
        <f t="shared" si="171"/>
        <v>0</v>
      </c>
      <c r="AN93" s="654">
        <f t="shared" si="172"/>
        <v>0</v>
      </c>
      <c r="AO93" s="654" t="str">
        <f t="shared" si="173"/>
        <v>No</v>
      </c>
      <c r="AP93" s="655">
        <f t="shared" si="146"/>
        <v>0</v>
      </c>
    </row>
    <row r="94" spans="1:42" ht="15">
      <c r="A94" s="795" t="s">
        <v>184</v>
      </c>
      <c r="B94" s="643">
        <v>32</v>
      </c>
      <c r="C94" s="766">
        <v>59</v>
      </c>
      <c r="D94" s="659">
        <v>2.4000000000000004</v>
      </c>
      <c r="E94" s="660">
        <v>0.63087662344959783</v>
      </c>
      <c r="F94" s="661">
        <v>0.3</v>
      </c>
      <c r="G94" s="688">
        <v>1</v>
      </c>
      <c r="H94" s="668">
        <f t="shared" si="148"/>
        <v>0.57879218636185104</v>
      </c>
      <c r="I94" s="651">
        <v>0.5</v>
      </c>
      <c r="J94" s="651">
        <f t="shared" si="149"/>
        <v>1</v>
      </c>
      <c r="K94" s="651">
        <f t="shared" si="150"/>
        <v>1</v>
      </c>
      <c r="L94" s="651">
        <f t="shared" si="151"/>
        <v>2</v>
      </c>
      <c r="M94" s="651" t="str">
        <f t="shared" si="152"/>
        <v>Yes</v>
      </c>
      <c r="N94" s="669">
        <f t="shared" si="147"/>
        <v>1</v>
      </c>
      <c r="O94" s="668">
        <f t="shared" si="153"/>
        <v>0.67680434295835412</v>
      </c>
      <c r="P94" s="651">
        <f t="shared" si="113"/>
        <v>0.3</v>
      </c>
      <c r="Q94" s="651">
        <f t="shared" si="154"/>
        <v>0</v>
      </c>
      <c r="R94" s="651">
        <f t="shared" si="155"/>
        <v>0</v>
      </c>
      <c r="S94" s="651">
        <f t="shared" si="156"/>
        <v>0</v>
      </c>
      <c r="T94" s="651" t="str">
        <f t="shared" si="157"/>
        <v>No</v>
      </c>
      <c r="U94" s="669">
        <f t="shared" si="143"/>
        <v>0</v>
      </c>
      <c r="V94" s="668">
        <f t="shared" si="158"/>
        <v>0.7057303584885084</v>
      </c>
      <c r="W94" s="651">
        <f t="shared" si="114"/>
        <v>0.2</v>
      </c>
      <c r="X94" s="651">
        <f t="shared" si="159"/>
        <v>0</v>
      </c>
      <c r="Y94" s="651">
        <f t="shared" si="160"/>
        <v>0</v>
      </c>
      <c r="Z94" s="651">
        <f t="shared" si="161"/>
        <v>0</v>
      </c>
      <c r="AA94" s="650" t="str">
        <f t="shared" si="162"/>
        <v>No</v>
      </c>
      <c r="AB94" s="669">
        <f t="shared" si="144"/>
        <v>0</v>
      </c>
      <c r="AC94" s="668">
        <f t="shared" si="163"/>
        <v>0.7287982803521269</v>
      </c>
      <c r="AD94" s="651">
        <f t="shared" si="115"/>
        <v>0.1</v>
      </c>
      <c r="AE94" s="651">
        <f t="shared" si="164"/>
        <v>0</v>
      </c>
      <c r="AF94" s="651">
        <f t="shared" si="165"/>
        <v>0</v>
      </c>
      <c r="AG94" s="651">
        <f t="shared" si="166"/>
        <v>0</v>
      </c>
      <c r="AH94" s="651" t="str">
        <f t="shared" si="167"/>
        <v>No</v>
      </c>
      <c r="AI94" s="669">
        <f t="shared" si="145"/>
        <v>0</v>
      </c>
      <c r="AJ94" s="674">
        <f t="shared" si="168"/>
        <v>0.73580203025095814</v>
      </c>
      <c r="AK94" s="654">
        <f t="shared" si="169"/>
        <v>6.1666666666666703E-2</v>
      </c>
      <c r="AL94" s="654">
        <f t="shared" si="170"/>
        <v>0</v>
      </c>
      <c r="AM94" s="654">
        <f t="shared" si="171"/>
        <v>0</v>
      </c>
      <c r="AN94" s="654">
        <f t="shared" si="172"/>
        <v>0</v>
      </c>
      <c r="AO94" s="654" t="str">
        <f t="shared" si="173"/>
        <v>No</v>
      </c>
      <c r="AP94" s="655">
        <f t="shared" si="146"/>
        <v>0</v>
      </c>
    </row>
    <row r="95" spans="1:42" ht="15">
      <c r="A95" s="795" t="s">
        <v>184</v>
      </c>
      <c r="B95" s="643">
        <v>32</v>
      </c>
      <c r="C95" s="766">
        <v>60</v>
      </c>
      <c r="D95" s="659">
        <v>1.2000000000000002</v>
      </c>
      <c r="E95" s="660">
        <v>0.56874517053450346</v>
      </c>
      <c r="F95" s="661">
        <v>0.28999999999999998</v>
      </c>
      <c r="G95" s="688">
        <v>1</v>
      </c>
      <c r="H95" s="668">
        <f t="shared" si="148"/>
        <v>0.51640894011145588</v>
      </c>
      <c r="I95" s="651">
        <v>0.5</v>
      </c>
      <c r="J95" s="651">
        <f t="shared" si="149"/>
        <v>1</v>
      </c>
      <c r="K95" s="651">
        <f t="shared" si="150"/>
        <v>1</v>
      </c>
      <c r="L95" s="651">
        <f t="shared" si="151"/>
        <v>2</v>
      </c>
      <c r="M95" s="651" t="str">
        <f t="shared" si="152"/>
        <v>Yes</v>
      </c>
      <c r="N95" s="669">
        <f t="shared" si="147"/>
        <v>1</v>
      </c>
      <c r="O95" s="668">
        <f t="shared" si="153"/>
        <v>0.6334133294553016</v>
      </c>
      <c r="P95" s="651">
        <f t="shared" si="113"/>
        <v>0.3</v>
      </c>
      <c r="Q95" s="651">
        <f t="shared" si="154"/>
        <v>0</v>
      </c>
      <c r="R95" s="651">
        <f t="shared" si="155"/>
        <v>1</v>
      </c>
      <c r="S95" s="651">
        <f t="shared" si="156"/>
        <v>1</v>
      </c>
      <c r="T95" s="651" t="str">
        <f t="shared" si="157"/>
        <v>No</v>
      </c>
      <c r="U95" s="669">
        <f t="shared" si="143"/>
        <v>0</v>
      </c>
      <c r="V95" s="668">
        <f t="shared" si="158"/>
        <v>0.6584607411312563</v>
      </c>
      <c r="W95" s="651">
        <f t="shared" si="114"/>
        <v>0.2</v>
      </c>
      <c r="X95" s="651">
        <f t="shared" si="159"/>
        <v>0</v>
      </c>
      <c r="Y95" s="651">
        <f t="shared" si="160"/>
        <v>0</v>
      </c>
      <c r="Z95" s="651">
        <f t="shared" si="161"/>
        <v>0</v>
      </c>
      <c r="AA95" s="650" t="str">
        <f t="shared" si="162"/>
        <v>No</v>
      </c>
      <c r="AB95" s="669">
        <f t="shared" si="144"/>
        <v>0</v>
      </c>
      <c r="AC95" s="668">
        <f t="shared" si="163"/>
        <v>0.68126483053237086</v>
      </c>
      <c r="AD95" s="651">
        <f t="shared" si="115"/>
        <v>0.1</v>
      </c>
      <c r="AE95" s="651">
        <f t="shared" si="164"/>
        <v>0</v>
      </c>
      <c r="AF95" s="651">
        <f t="shared" si="165"/>
        <v>0</v>
      </c>
      <c r="AG95" s="651">
        <f t="shared" si="166"/>
        <v>0</v>
      </c>
      <c r="AH95" s="651" t="str">
        <f t="shared" si="167"/>
        <v>No</v>
      </c>
      <c r="AI95" s="669">
        <f t="shared" si="145"/>
        <v>0</v>
      </c>
      <c r="AJ95" s="674">
        <f t="shared" si="168"/>
        <v>0.68272340298672252</v>
      </c>
      <c r="AK95" s="654">
        <f t="shared" si="169"/>
        <v>6.1666666666666703E-2</v>
      </c>
      <c r="AL95" s="654">
        <f t="shared" si="170"/>
        <v>0</v>
      </c>
      <c r="AM95" s="654">
        <f t="shared" si="171"/>
        <v>0</v>
      </c>
      <c r="AN95" s="654">
        <f t="shared" si="172"/>
        <v>0</v>
      </c>
      <c r="AO95" s="654" t="str">
        <f t="shared" si="173"/>
        <v>No</v>
      </c>
      <c r="AP95" s="655">
        <f t="shared" si="146"/>
        <v>0</v>
      </c>
    </row>
    <row r="96" spans="1:42" ht="15">
      <c r="A96" s="795" t="s">
        <v>184</v>
      </c>
      <c r="B96" s="643">
        <v>32</v>
      </c>
      <c r="C96" s="766">
        <v>61</v>
      </c>
      <c r="D96" s="659">
        <v>1.2000000000000002</v>
      </c>
      <c r="E96" s="660">
        <v>0.57230089142825902</v>
      </c>
      <c r="F96" s="661">
        <v>0.27500000000000002</v>
      </c>
      <c r="G96" s="688">
        <v>1</v>
      </c>
      <c r="H96" s="668">
        <f t="shared" si="148"/>
        <v>0.51640894011145588</v>
      </c>
      <c r="I96" s="651">
        <v>0.5</v>
      </c>
      <c r="J96" s="651">
        <f t="shared" si="149"/>
        <v>1</v>
      </c>
      <c r="K96" s="651">
        <f t="shared" si="150"/>
        <v>1</v>
      </c>
      <c r="L96" s="651">
        <f t="shared" si="151"/>
        <v>2</v>
      </c>
      <c r="M96" s="651" t="str">
        <f t="shared" si="152"/>
        <v>Yes</v>
      </c>
      <c r="N96" s="669">
        <f t="shared" si="147"/>
        <v>1</v>
      </c>
      <c r="O96" s="668">
        <f t="shared" si="153"/>
        <v>0.6334133294553016</v>
      </c>
      <c r="P96" s="651">
        <f t="shared" si="113"/>
        <v>0.3</v>
      </c>
      <c r="Q96" s="651">
        <f t="shared" si="154"/>
        <v>0</v>
      </c>
      <c r="R96" s="651">
        <f t="shared" si="155"/>
        <v>1</v>
      </c>
      <c r="S96" s="651">
        <f t="shared" si="156"/>
        <v>1</v>
      </c>
      <c r="T96" s="651" t="str">
        <f t="shared" si="157"/>
        <v>No</v>
      </c>
      <c r="U96" s="669">
        <f t="shared" si="143"/>
        <v>0</v>
      </c>
      <c r="V96" s="668">
        <f t="shared" si="158"/>
        <v>0.6584607411312563</v>
      </c>
      <c r="W96" s="651">
        <f t="shared" si="114"/>
        <v>0.2</v>
      </c>
      <c r="X96" s="651">
        <f t="shared" si="159"/>
        <v>0</v>
      </c>
      <c r="Y96" s="651">
        <f t="shared" si="160"/>
        <v>0</v>
      </c>
      <c r="Z96" s="651">
        <f t="shared" si="161"/>
        <v>0</v>
      </c>
      <c r="AA96" s="650" t="str">
        <f t="shared" si="162"/>
        <v>No</v>
      </c>
      <c r="AB96" s="669">
        <f t="shared" si="144"/>
        <v>0</v>
      </c>
      <c r="AC96" s="668">
        <f t="shared" si="163"/>
        <v>0.68126483053237086</v>
      </c>
      <c r="AD96" s="651">
        <f t="shared" si="115"/>
        <v>0.1</v>
      </c>
      <c r="AE96" s="651">
        <f t="shared" si="164"/>
        <v>0</v>
      </c>
      <c r="AF96" s="651">
        <f t="shared" si="165"/>
        <v>0</v>
      </c>
      <c r="AG96" s="651">
        <f t="shared" si="166"/>
        <v>0</v>
      </c>
      <c r="AH96" s="651" t="str">
        <f t="shared" si="167"/>
        <v>No</v>
      </c>
      <c r="AI96" s="669">
        <f t="shared" si="145"/>
        <v>0</v>
      </c>
      <c r="AJ96" s="674">
        <f t="shared" si="168"/>
        <v>0.68272340298672252</v>
      </c>
      <c r="AK96" s="654">
        <f t="shared" si="169"/>
        <v>6.1666666666666703E-2</v>
      </c>
      <c r="AL96" s="654">
        <f t="shared" si="170"/>
        <v>0</v>
      </c>
      <c r="AM96" s="654">
        <f t="shared" si="171"/>
        <v>0</v>
      </c>
      <c r="AN96" s="654">
        <f t="shared" si="172"/>
        <v>0</v>
      </c>
      <c r="AO96" s="654" t="str">
        <f t="shared" si="173"/>
        <v>No</v>
      </c>
      <c r="AP96" s="655">
        <f t="shared" si="146"/>
        <v>0</v>
      </c>
    </row>
    <row r="97" spans="1:42" ht="15">
      <c r="A97" s="795" t="s">
        <v>215</v>
      </c>
      <c r="B97" s="643">
        <v>33</v>
      </c>
      <c r="C97" s="766">
        <v>62</v>
      </c>
      <c r="D97" s="659">
        <v>1.2000000000000002</v>
      </c>
      <c r="E97" s="660">
        <v>0.57668478601231943</v>
      </c>
      <c r="F97" s="661">
        <v>0.27200000000000002</v>
      </c>
      <c r="G97" s="688">
        <v>1</v>
      </c>
      <c r="H97" s="668">
        <f t="shared" si="148"/>
        <v>0.51640894011145588</v>
      </c>
      <c r="I97" s="651">
        <v>0.5</v>
      </c>
      <c r="J97" s="651">
        <f t="shared" si="149"/>
        <v>1</v>
      </c>
      <c r="K97" s="651">
        <f t="shared" si="150"/>
        <v>1</v>
      </c>
      <c r="L97" s="651">
        <f t="shared" si="151"/>
        <v>2</v>
      </c>
      <c r="M97" s="651" t="str">
        <f t="shared" si="152"/>
        <v>Yes</v>
      </c>
      <c r="N97" s="669">
        <f t="shared" si="147"/>
        <v>1</v>
      </c>
      <c r="O97" s="668">
        <f t="shared" si="153"/>
        <v>0.6334133294553016</v>
      </c>
      <c r="P97" s="651">
        <f t="shared" si="113"/>
        <v>0.3</v>
      </c>
      <c r="Q97" s="651">
        <f t="shared" si="154"/>
        <v>0</v>
      </c>
      <c r="R97" s="651">
        <f t="shared" si="155"/>
        <v>1</v>
      </c>
      <c r="S97" s="651">
        <f t="shared" si="156"/>
        <v>1</v>
      </c>
      <c r="T97" s="651" t="str">
        <f t="shared" si="157"/>
        <v>No</v>
      </c>
      <c r="U97" s="669">
        <f t="shared" si="143"/>
        <v>0</v>
      </c>
      <c r="V97" s="668">
        <f t="shared" si="158"/>
        <v>0.6584607411312563</v>
      </c>
      <c r="W97" s="651">
        <f t="shared" si="114"/>
        <v>0.2</v>
      </c>
      <c r="X97" s="651">
        <f t="shared" si="159"/>
        <v>0</v>
      </c>
      <c r="Y97" s="651">
        <f t="shared" si="160"/>
        <v>0</v>
      </c>
      <c r="Z97" s="651">
        <f t="shared" si="161"/>
        <v>0</v>
      </c>
      <c r="AA97" s="650" t="str">
        <f t="shared" si="162"/>
        <v>No</v>
      </c>
      <c r="AB97" s="669">
        <f t="shared" si="144"/>
        <v>0</v>
      </c>
      <c r="AC97" s="668">
        <f t="shared" si="163"/>
        <v>0.68126483053237086</v>
      </c>
      <c r="AD97" s="651">
        <f t="shared" si="115"/>
        <v>0.1</v>
      </c>
      <c r="AE97" s="651">
        <f t="shared" si="164"/>
        <v>0</v>
      </c>
      <c r="AF97" s="651">
        <f t="shared" si="165"/>
        <v>0</v>
      </c>
      <c r="AG97" s="651">
        <f t="shared" si="166"/>
        <v>0</v>
      </c>
      <c r="AH97" s="651" t="str">
        <f t="shared" si="167"/>
        <v>No</v>
      </c>
      <c r="AI97" s="669">
        <f t="shared" si="145"/>
        <v>0</v>
      </c>
      <c r="AJ97" s="674">
        <f t="shared" si="168"/>
        <v>0.68272340298672252</v>
      </c>
      <c r="AK97" s="654">
        <f t="shared" si="169"/>
        <v>6.1666666666666703E-2</v>
      </c>
      <c r="AL97" s="654">
        <f t="shared" si="170"/>
        <v>0</v>
      </c>
      <c r="AM97" s="654">
        <f t="shared" si="171"/>
        <v>0</v>
      </c>
      <c r="AN97" s="654">
        <f t="shared" si="172"/>
        <v>0</v>
      </c>
      <c r="AO97" s="654" t="str">
        <f t="shared" si="173"/>
        <v>No</v>
      </c>
      <c r="AP97" s="655">
        <f t="shared" si="146"/>
        <v>0</v>
      </c>
    </row>
    <row r="98" spans="1:42" ht="15">
      <c r="A98" s="795" t="s">
        <v>215</v>
      </c>
      <c r="B98" s="643">
        <v>33</v>
      </c>
      <c r="C98" s="766">
        <v>63</v>
      </c>
      <c r="D98" s="659">
        <v>7.7000000000000011</v>
      </c>
      <c r="E98" s="660">
        <v>0.73652745850203716</v>
      </c>
      <c r="F98" s="661">
        <v>6.4000000000000001E-2</v>
      </c>
      <c r="G98" s="688">
        <v>1</v>
      </c>
      <c r="H98" s="668">
        <f t="shared" si="148"/>
        <v>0.68370982959736737</v>
      </c>
      <c r="I98" s="651">
        <v>0.5</v>
      </c>
      <c r="J98" s="651">
        <f t="shared" si="149"/>
        <v>1</v>
      </c>
      <c r="K98" s="651">
        <f t="shared" si="150"/>
        <v>1</v>
      </c>
      <c r="L98" s="651">
        <f t="shared" si="151"/>
        <v>2</v>
      </c>
      <c r="M98" s="651" t="str">
        <f t="shared" si="152"/>
        <v>Yes</v>
      </c>
      <c r="N98" s="669">
        <f t="shared" si="147"/>
        <v>1</v>
      </c>
      <c r="O98" s="668">
        <f t="shared" si="153"/>
        <v>0.74978039258661333</v>
      </c>
      <c r="P98" s="651">
        <f t="shared" si="113"/>
        <v>0.3</v>
      </c>
      <c r="Q98" s="651">
        <f t="shared" si="154"/>
        <v>0</v>
      </c>
      <c r="R98" s="651">
        <f t="shared" si="155"/>
        <v>1</v>
      </c>
      <c r="S98" s="651">
        <f t="shared" si="156"/>
        <v>1</v>
      </c>
      <c r="T98" s="651" t="str">
        <f t="shared" si="157"/>
        <v>No</v>
      </c>
      <c r="U98" s="669">
        <f t="shared" si="143"/>
        <v>0</v>
      </c>
      <c r="V98" s="668">
        <f t="shared" si="158"/>
        <v>0.78161954505306064</v>
      </c>
      <c r="W98" s="651">
        <f t="shared" si="114"/>
        <v>0.2</v>
      </c>
      <c r="X98" s="651">
        <f t="shared" si="159"/>
        <v>0</v>
      </c>
      <c r="Y98" s="651">
        <f t="shared" si="160"/>
        <v>1</v>
      </c>
      <c r="Z98" s="651">
        <f t="shared" si="161"/>
        <v>1</v>
      </c>
      <c r="AA98" s="650" t="str">
        <f t="shared" si="162"/>
        <v>No</v>
      </c>
      <c r="AB98" s="669">
        <f t="shared" si="144"/>
        <v>0</v>
      </c>
      <c r="AC98" s="668">
        <f t="shared" si="163"/>
        <v>0.8041466433490343</v>
      </c>
      <c r="AD98" s="651">
        <f t="shared" si="115"/>
        <v>0.1</v>
      </c>
      <c r="AE98" s="651">
        <f t="shared" si="164"/>
        <v>0</v>
      </c>
      <c r="AF98" s="651">
        <f t="shared" si="165"/>
        <v>1</v>
      </c>
      <c r="AG98" s="651">
        <f t="shared" si="166"/>
        <v>1</v>
      </c>
      <c r="AH98" s="651" t="str">
        <f t="shared" si="167"/>
        <v>No</v>
      </c>
      <c r="AI98" s="669">
        <f t="shared" si="145"/>
        <v>0</v>
      </c>
      <c r="AJ98" s="674">
        <f t="shared" si="168"/>
        <v>0.82047640597991145</v>
      </c>
      <c r="AK98" s="654">
        <f t="shared" si="169"/>
        <v>6.1666666666666703E-2</v>
      </c>
      <c r="AL98" s="654">
        <f t="shared" si="170"/>
        <v>0</v>
      </c>
      <c r="AM98" s="654">
        <f t="shared" si="171"/>
        <v>0</v>
      </c>
      <c r="AN98" s="654">
        <f t="shared" si="172"/>
        <v>0</v>
      </c>
      <c r="AO98" s="654" t="str">
        <f t="shared" si="173"/>
        <v>No</v>
      </c>
      <c r="AP98" s="655">
        <f t="shared" si="146"/>
        <v>0</v>
      </c>
    </row>
    <row r="99" spans="1:42" ht="15">
      <c r="A99" s="795" t="s">
        <v>215</v>
      </c>
      <c r="B99" s="643">
        <v>33</v>
      </c>
      <c r="C99" s="766">
        <v>93</v>
      </c>
      <c r="D99" s="659">
        <v>2.4000000000000004</v>
      </c>
      <c r="E99" s="660">
        <v>0.63402814121362505</v>
      </c>
      <c r="F99" s="661">
        <v>0.3</v>
      </c>
      <c r="G99" s="688">
        <v>1</v>
      </c>
      <c r="H99" s="668">
        <f t="shared" si="148"/>
        <v>0.57879218636185104</v>
      </c>
      <c r="I99" s="651">
        <v>0.5</v>
      </c>
      <c r="J99" s="651">
        <f t="shared" si="149"/>
        <v>1</v>
      </c>
      <c r="K99" s="651">
        <f t="shared" si="150"/>
        <v>1</v>
      </c>
      <c r="L99" s="651">
        <f t="shared" si="151"/>
        <v>2</v>
      </c>
      <c r="M99" s="651" t="str">
        <f t="shared" si="152"/>
        <v>Yes</v>
      </c>
      <c r="N99" s="669">
        <f t="shared" si="147"/>
        <v>1</v>
      </c>
      <c r="O99" s="668">
        <f t="shared" si="153"/>
        <v>0.67680434295835412</v>
      </c>
      <c r="P99" s="651">
        <f t="shared" si="113"/>
        <v>0.3</v>
      </c>
      <c r="Q99" s="651">
        <f t="shared" si="154"/>
        <v>0</v>
      </c>
      <c r="R99" s="651">
        <f t="shared" si="155"/>
        <v>0</v>
      </c>
      <c r="S99" s="651">
        <f t="shared" si="156"/>
        <v>0</v>
      </c>
      <c r="T99" s="651" t="str">
        <f t="shared" si="157"/>
        <v>No</v>
      </c>
      <c r="U99" s="669">
        <f t="shared" si="143"/>
        <v>0</v>
      </c>
      <c r="V99" s="668">
        <f t="shared" si="158"/>
        <v>0.7057303584885084</v>
      </c>
      <c r="W99" s="651">
        <f t="shared" si="114"/>
        <v>0.2</v>
      </c>
      <c r="X99" s="651">
        <f t="shared" si="159"/>
        <v>0</v>
      </c>
      <c r="Y99" s="651">
        <f t="shared" si="160"/>
        <v>0</v>
      </c>
      <c r="Z99" s="651">
        <f t="shared" si="161"/>
        <v>0</v>
      </c>
      <c r="AA99" s="650" t="str">
        <f t="shared" si="162"/>
        <v>No</v>
      </c>
      <c r="AB99" s="669">
        <f t="shared" si="144"/>
        <v>0</v>
      </c>
      <c r="AC99" s="668">
        <f t="shared" si="163"/>
        <v>0.7287982803521269</v>
      </c>
      <c r="AD99" s="651">
        <f t="shared" si="115"/>
        <v>0.1</v>
      </c>
      <c r="AE99" s="651">
        <f t="shared" si="164"/>
        <v>0</v>
      </c>
      <c r="AF99" s="651">
        <f t="shared" si="165"/>
        <v>0</v>
      </c>
      <c r="AG99" s="651">
        <f t="shared" si="166"/>
        <v>0</v>
      </c>
      <c r="AH99" s="651" t="str">
        <f t="shared" si="167"/>
        <v>No</v>
      </c>
      <c r="AI99" s="669">
        <f t="shared" si="145"/>
        <v>0</v>
      </c>
      <c r="AJ99" s="674">
        <f t="shared" si="168"/>
        <v>0.73580203025095814</v>
      </c>
      <c r="AK99" s="654">
        <f t="shared" si="169"/>
        <v>6.1666666666666703E-2</v>
      </c>
      <c r="AL99" s="654">
        <f t="shared" si="170"/>
        <v>0</v>
      </c>
      <c r="AM99" s="654">
        <f t="shared" si="171"/>
        <v>0</v>
      </c>
      <c r="AN99" s="654">
        <f t="shared" si="172"/>
        <v>0</v>
      </c>
      <c r="AO99" s="654" t="str">
        <f t="shared" si="173"/>
        <v>No</v>
      </c>
      <c r="AP99" s="655">
        <f t="shared" si="146"/>
        <v>0</v>
      </c>
    </row>
    <row r="100" spans="1:42" ht="15">
      <c r="A100" s="795" t="s">
        <v>215</v>
      </c>
      <c r="B100" s="643">
        <v>33</v>
      </c>
      <c r="C100" s="766">
        <v>94</v>
      </c>
      <c r="D100" s="659">
        <v>2.4000000000000004</v>
      </c>
      <c r="E100" s="660">
        <v>0.62254090503909265</v>
      </c>
      <c r="F100" s="661">
        <v>0.31</v>
      </c>
      <c r="G100" s="688">
        <v>1</v>
      </c>
      <c r="H100" s="668">
        <f t="shared" si="148"/>
        <v>0.57879218636185104</v>
      </c>
      <c r="I100" s="651">
        <v>0.5</v>
      </c>
      <c r="J100" s="651">
        <f t="shared" si="149"/>
        <v>1</v>
      </c>
      <c r="K100" s="651">
        <f t="shared" si="150"/>
        <v>1</v>
      </c>
      <c r="L100" s="651">
        <f t="shared" si="151"/>
        <v>2</v>
      </c>
      <c r="M100" s="651" t="str">
        <f t="shared" si="152"/>
        <v>Yes</v>
      </c>
      <c r="N100" s="669">
        <f t="shared" si="147"/>
        <v>1</v>
      </c>
      <c r="O100" s="668">
        <f t="shared" si="153"/>
        <v>0.67680434295835412</v>
      </c>
      <c r="P100" s="651">
        <f t="shared" si="113"/>
        <v>0.3</v>
      </c>
      <c r="Q100" s="651">
        <f t="shared" si="154"/>
        <v>0</v>
      </c>
      <c r="R100" s="651">
        <f t="shared" si="155"/>
        <v>0</v>
      </c>
      <c r="S100" s="651">
        <f t="shared" si="156"/>
        <v>0</v>
      </c>
      <c r="T100" s="651" t="str">
        <f t="shared" si="157"/>
        <v>No</v>
      </c>
      <c r="U100" s="669">
        <f t="shared" si="143"/>
        <v>0</v>
      </c>
      <c r="V100" s="668">
        <f t="shared" si="158"/>
        <v>0.7057303584885084</v>
      </c>
      <c r="W100" s="651">
        <f t="shared" si="114"/>
        <v>0.2</v>
      </c>
      <c r="X100" s="651">
        <f t="shared" si="159"/>
        <v>0</v>
      </c>
      <c r="Y100" s="651">
        <f t="shared" si="160"/>
        <v>0</v>
      </c>
      <c r="Z100" s="651">
        <f t="shared" si="161"/>
        <v>0</v>
      </c>
      <c r="AA100" s="650" t="str">
        <f t="shared" si="162"/>
        <v>No</v>
      </c>
      <c r="AB100" s="669">
        <f t="shared" si="144"/>
        <v>0</v>
      </c>
      <c r="AC100" s="668">
        <f t="shared" si="163"/>
        <v>0.7287982803521269</v>
      </c>
      <c r="AD100" s="651">
        <f t="shared" si="115"/>
        <v>0.1</v>
      </c>
      <c r="AE100" s="651">
        <f t="shared" si="164"/>
        <v>0</v>
      </c>
      <c r="AF100" s="651">
        <f t="shared" si="165"/>
        <v>0</v>
      </c>
      <c r="AG100" s="651">
        <f t="shared" si="166"/>
        <v>0</v>
      </c>
      <c r="AH100" s="651" t="str">
        <f t="shared" si="167"/>
        <v>No</v>
      </c>
      <c r="AI100" s="669">
        <f t="shared" si="145"/>
        <v>0</v>
      </c>
      <c r="AJ100" s="674">
        <f t="shared" si="168"/>
        <v>0.73580203025095814</v>
      </c>
      <c r="AK100" s="654">
        <f t="shared" si="169"/>
        <v>6.1666666666666703E-2</v>
      </c>
      <c r="AL100" s="654">
        <f t="shared" si="170"/>
        <v>0</v>
      </c>
      <c r="AM100" s="654">
        <f t="shared" si="171"/>
        <v>0</v>
      </c>
      <c r="AN100" s="654">
        <f t="shared" si="172"/>
        <v>0</v>
      </c>
      <c r="AO100" s="654" t="str">
        <f t="shared" si="173"/>
        <v>No</v>
      </c>
      <c r="AP100" s="655">
        <f t="shared" si="146"/>
        <v>0</v>
      </c>
    </row>
    <row r="101" spans="1:42" ht="15">
      <c r="A101" s="795" t="s">
        <v>215</v>
      </c>
      <c r="B101" s="643">
        <v>33</v>
      </c>
      <c r="C101" s="766">
        <v>95</v>
      </c>
      <c r="D101" s="659">
        <v>2.4000000000000004</v>
      </c>
      <c r="E101" s="660">
        <v>0.61047655039154913</v>
      </c>
      <c r="F101" s="661">
        <v>0.4</v>
      </c>
      <c r="G101" s="688">
        <v>1</v>
      </c>
      <c r="H101" s="668">
        <f t="shared" si="148"/>
        <v>0.57879218636185104</v>
      </c>
      <c r="I101" s="651">
        <v>0.5</v>
      </c>
      <c r="J101" s="651">
        <f t="shared" si="149"/>
        <v>1</v>
      </c>
      <c r="K101" s="651">
        <f t="shared" si="150"/>
        <v>1</v>
      </c>
      <c r="L101" s="651">
        <f t="shared" si="151"/>
        <v>2</v>
      </c>
      <c r="M101" s="651" t="str">
        <f t="shared" si="152"/>
        <v>Yes</v>
      </c>
      <c r="N101" s="669">
        <f t="shared" si="147"/>
        <v>1</v>
      </c>
      <c r="O101" s="668">
        <f t="shared" si="153"/>
        <v>0.67680434295835412</v>
      </c>
      <c r="P101" s="651">
        <f t="shared" si="113"/>
        <v>0.3</v>
      </c>
      <c r="Q101" s="651">
        <f t="shared" si="154"/>
        <v>0</v>
      </c>
      <c r="R101" s="651">
        <f t="shared" si="155"/>
        <v>0</v>
      </c>
      <c r="S101" s="651">
        <f t="shared" si="156"/>
        <v>0</v>
      </c>
      <c r="T101" s="651" t="str">
        <f t="shared" si="157"/>
        <v>No</v>
      </c>
      <c r="U101" s="669">
        <f t="shared" si="143"/>
        <v>0</v>
      </c>
      <c r="V101" s="668">
        <f t="shared" si="158"/>
        <v>0.7057303584885084</v>
      </c>
      <c r="W101" s="651">
        <f t="shared" si="114"/>
        <v>0.2</v>
      </c>
      <c r="X101" s="651">
        <f t="shared" si="159"/>
        <v>0</v>
      </c>
      <c r="Y101" s="651">
        <f t="shared" si="160"/>
        <v>0</v>
      </c>
      <c r="Z101" s="651">
        <f t="shared" si="161"/>
        <v>0</v>
      </c>
      <c r="AA101" s="650" t="str">
        <f t="shared" si="162"/>
        <v>No</v>
      </c>
      <c r="AB101" s="669">
        <f t="shared" si="144"/>
        <v>0</v>
      </c>
      <c r="AC101" s="668">
        <f t="shared" si="163"/>
        <v>0.7287982803521269</v>
      </c>
      <c r="AD101" s="651">
        <f t="shared" si="115"/>
        <v>0.1</v>
      </c>
      <c r="AE101" s="651">
        <f t="shared" si="164"/>
        <v>0</v>
      </c>
      <c r="AF101" s="651">
        <f t="shared" si="165"/>
        <v>0</v>
      </c>
      <c r="AG101" s="651">
        <f t="shared" si="166"/>
        <v>0</v>
      </c>
      <c r="AH101" s="651" t="str">
        <f t="shared" si="167"/>
        <v>No</v>
      </c>
      <c r="AI101" s="669">
        <f t="shared" si="145"/>
        <v>0</v>
      </c>
      <c r="AJ101" s="674">
        <f t="shared" si="168"/>
        <v>0.73580203025095814</v>
      </c>
      <c r="AK101" s="654">
        <f t="shared" si="169"/>
        <v>6.1666666666666703E-2</v>
      </c>
      <c r="AL101" s="654">
        <f t="shared" si="170"/>
        <v>0</v>
      </c>
      <c r="AM101" s="654">
        <f t="shared" si="171"/>
        <v>0</v>
      </c>
      <c r="AN101" s="654">
        <f t="shared" si="172"/>
        <v>0</v>
      </c>
      <c r="AO101" s="654" t="str">
        <f t="shared" si="173"/>
        <v>No</v>
      </c>
      <c r="AP101" s="655">
        <f t="shared" si="146"/>
        <v>0</v>
      </c>
    </row>
    <row r="102" spans="1:42" ht="15">
      <c r="A102" s="778" t="s">
        <v>215</v>
      </c>
      <c r="B102" s="644">
        <v>33</v>
      </c>
      <c r="C102" s="767">
        <v>96</v>
      </c>
      <c r="D102" s="665">
        <v>2.4000000000000004</v>
      </c>
      <c r="E102" s="687">
        <v>0.60805652352353379</v>
      </c>
      <c r="F102" s="667">
        <v>0.4</v>
      </c>
      <c r="G102" s="720">
        <v>1</v>
      </c>
      <c r="H102" s="672">
        <f t="shared" si="148"/>
        <v>0.57879218636185104</v>
      </c>
      <c r="I102" s="653">
        <v>0.5</v>
      </c>
      <c r="J102" s="653">
        <f t="shared" si="149"/>
        <v>1</v>
      </c>
      <c r="K102" s="653">
        <f t="shared" si="150"/>
        <v>1</v>
      </c>
      <c r="L102" s="653">
        <f t="shared" si="151"/>
        <v>2</v>
      </c>
      <c r="M102" s="653" t="str">
        <f t="shared" si="152"/>
        <v>Yes</v>
      </c>
      <c r="N102" s="673">
        <f t="shared" si="147"/>
        <v>1</v>
      </c>
      <c r="O102" s="672">
        <f t="shared" si="153"/>
        <v>0.67680434295835412</v>
      </c>
      <c r="P102" s="653">
        <f t="shared" si="113"/>
        <v>0.3</v>
      </c>
      <c r="Q102" s="653">
        <f t="shared" si="154"/>
        <v>0</v>
      </c>
      <c r="R102" s="653">
        <f t="shared" si="155"/>
        <v>0</v>
      </c>
      <c r="S102" s="653">
        <f t="shared" si="156"/>
        <v>0</v>
      </c>
      <c r="T102" s="653" t="str">
        <f t="shared" si="157"/>
        <v>No</v>
      </c>
      <c r="U102" s="673">
        <f t="shared" si="143"/>
        <v>0</v>
      </c>
      <c r="V102" s="672">
        <f t="shared" si="158"/>
        <v>0.7057303584885084</v>
      </c>
      <c r="W102" s="653">
        <f t="shared" si="114"/>
        <v>0.2</v>
      </c>
      <c r="X102" s="653">
        <f t="shared" si="159"/>
        <v>0</v>
      </c>
      <c r="Y102" s="653">
        <f t="shared" si="160"/>
        <v>0</v>
      </c>
      <c r="Z102" s="653">
        <f t="shared" si="161"/>
        <v>0</v>
      </c>
      <c r="AA102" s="652" t="str">
        <f t="shared" si="162"/>
        <v>No</v>
      </c>
      <c r="AB102" s="673">
        <f t="shared" si="144"/>
        <v>0</v>
      </c>
      <c r="AC102" s="672">
        <f t="shared" si="163"/>
        <v>0.7287982803521269</v>
      </c>
      <c r="AD102" s="653">
        <f t="shared" si="115"/>
        <v>0.1</v>
      </c>
      <c r="AE102" s="653">
        <f t="shared" si="164"/>
        <v>0</v>
      </c>
      <c r="AF102" s="653">
        <f t="shared" si="165"/>
        <v>0</v>
      </c>
      <c r="AG102" s="653">
        <f t="shared" si="166"/>
        <v>0</v>
      </c>
      <c r="AH102" s="653" t="str">
        <f t="shared" si="167"/>
        <v>No</v>
      </c>
      <c r="AI102" s="673">
        <f t="shared" si="145"/>
        <v>0</v>
      </c>
      <c r="AJ102" s="677">
        <f t="shared" si="168"/>
        <v>0.73580203025095814</v>
      </c>
      <c r="AK102" s="657">
        <f t="shared" si="169"/>
        <v>6.1666666666666703E-2</v>
      </c>
      <c r="AL102" s="657">
        <f t="shared" si="170"/>
        <v>0</v>
      </c>
      <c r="AM102" s="657">
        <f t="shared" si="171"/>
        <v>0</v>
      </c>
      <c r="AN102" s="657">
        <f t="shared" si="172"/>
        <v>0</v>
      </c>
      <c r="AO102" s="657" t="str">
        <f t="shared" si="173"/>
        <v>No</v>
      </c>
      <c r="AP102" s="658">
        <f t="shared" si="146"/>
        <v>0</v>
      </c>
    </row>
    <row r="103" spans="1:42" ht="15">
      <c r="A103" s="777" t="s">
        <v>121</v>
      </c>
      <c r="B103" s="643">
        <v>34</v>
      </c>
      <c r="C103" s="766">
        <v>64</v>
      </c>
      <c r="D103" s="659">
        <v>10</v>
      </c>
      <c r="E103" s="660">
        <v>0.72159871745942161</v>
      </c>
      <c r="F103" s="661">
        <v>4.2000000000000003E-2</v>
      </c>
      <c r="G103" s="688">
        <v>1</v>
      </c>
      <c r="H103" s="668">
        <f t="shared" si="148"/>
        <v>0.70723265836946414</v>
      </c>
      <c r="I103" s="651">
        <v>0.5</v>
      </c>
      <c r="J103" s="651">
        <f t="shared" si="149"/>
        <v>1</v>
      </c>
      <c r="K103" s="651">
        <f t="shared" si="150"/>
        <v>1</v>
      </c>
      <c r="L103" s="651">
        <f t="shared" si="151"/>
        <v>2</v>
      </c>
      <c r="M103" s="651" t="str">
        <f t="shared" si="152"/>
        <v>Yes</v>
      </c>
      <c r="N103" s="669">
        <f t="shared" si="147"/>
        <v>1</v>
      </c>
      <c r="O103" s="668">
        <f t="shared" si="153"/>
        <v>0.76614182682142729</v>
      </c>
      <c r="P103" s="651">
        <f t="shared" si="113"/>
        <v>0.3</v>
      </c>
      <c r="Q103" s="651">
        <f t="shared" si="154"/>
        <v>0</v>
      </c>
      <c r="R103" s="651">
        <f t="shared" si="155"/>
        <v>1</v>
      </c>
      <c r="S103" s="651">
        <f t="shared" si="156"/>
        <v>1</v>
      </c>
      <c r="T103" s="651" t="str">
        <f t="shared" si="157"/>
        <v>No</v>
      </c>
      <c r="U103" s="669">
        <f t="shared" si="143"/>
        <v>0</v>
      </c>
      <c r="V103" s="668">
        <f t="shared" si="158"/>
        <v>0.79741121501888257</v>
      </c>
      <c r="W103" s="651">
        <f t="shared" si="114"/>
        <v>0.2</v>
      </c>
      <c r="X103" s="651">
        <f t="shared" si="159"/>
        <v>0</v>
      </c>
      <c r="Y103" s="651">
        <f t="shared" si="160"/>
        <v>1</v>
      </c>
      <c r="Z103" s="651">
        <f t="shared" si="161"/>
        <v>1</v>
      </c>
      <c r="AA103" s="650" t="str">
        <f t="shared" si="162"/>
        <v>No</v>
      </c>
      <c r="AB103" s="669">
        <f t="shared" si="144"/>
        <v>0</v>
      </c>
      <c r="AC103" s="668">
        <f t="shared" si="163"/>
        <v>0.8194835416025773</v>
      </c>
      <c r="AD103" s="651">
        <f t="shared" si="115"/>
        <v>0.1</v>
      </c>
      <c r="AE103" s="651">
        <f t="shared" si="164"/>
        <v>0</v>
      </c>
      <c r="AF103" s="651">
        <f t="shared" si="165"/>
        <v>1</v>
      </c>
      <c r="AG103" s="651">
        <f t="shared" si="166"/>
        <v>1</v>
      </c>
      <c r="AH103" s="651" t="str">
        <f t="shared" si="167"/>
        <v>No</v>
      </c>
      <c r="AI103" s="669">
        <f t="shared" si="145"/>
        <v>0</v>
      </c>
      <c r="AJ103" s="674">
        <f t="shared" si="168"/>
        <v>0.83790422234652961</v>
      </c>
      <c r="AK103" s="654">
        <f t="shared" si="169"/>
        <v>6.1666666666666703E-2</v>
      </c>
      <c r="AL103" s="654">
        <f t="shared" si="170"/>
        <v>0</v>
      </c>
      <c r="AM103" s="654">
        <f t="shared" si="171"/>
        <v>1</v>
      </c>
      <c r="AN103" s="654">
        <f t="shared" si="172"/>
        <v>1</v>
      </c>
      <c r="AO103" s="654" t="str">
        <f t="shared" si="173"/>
        <v>No</v>
      </c>
      <c r="AP103" s="655">
        <f t="shared" si="146"/>
        <v>0</v>
      </c>
    </row>
    <row r="104" spans="1:42" ht="15">
      <c r="A104" s="778" t="s">
        <v>121</v>
      </c>
      <c r="B104" s="644">
        <v>34</v>
      </c>
      <c r="C104" s="767">
        <v>65</v>
      </c>
      <c r="D104" s="665">
        <v>15</v>
      </c>
      <c r="E104" s="687">
        <v>0.80123182955951777</v>
      </c>
      <c r="F104" s="667">
        <v>0.33600000000000002</v>
      </c>
      <c r="G104" s="720">
        <v>2</v>
      </c>
      <c r="H104" s="672">
        <f t="shared" si="148"/>
        <v>0.74372451809919893</v>
      </c>
      <c r="I104" s="653">
        <v>0.5</v>
      </c>
      <c r="J104" s="653">
        <f t="shared" si="149"/>
        <v>1</v>
      </c>
      <c r="K104" s="653">
        <f t="shared" si="150"/>
        <v>1</v>
      </c>
      <c r="L104" s="653">
        <f t="shared" si="151"/>
        <v>2</v>
      </c>
      <c r="M104" s="653" t="str">
        <f t="shared" si="152"/>
        <v>Yes</v>
      </c>
      <c r="N104" s="673">
        <f t="shared" si="147"/>
        <v>1</v>
      </c>
      <c r="O104" s="672">
        <f t="shared" si="153"/>
        <v>0.79152394258899839</v>
      </c>
      <c r="P104" s="653">
        <f t="shared" si="113"/>
        <v>0.3</v>
      </c>
      <c r="Q104" s="653">
        <f t="shared" si="154"/>
        <v>1</v>
      </c>
      <c r="R104" s="653">
        <f t="shared" si="155"/>
        <v>0</v>
      </c>
      <c r="S104" s="653">
        <f t="shared" si="156"/>
        <v>1</v>
      </c>
      <c r="T104" s="653" t="str">
        <f t="shared" si="157"/>
        <v>No</v>
      </c>
      <c r="U104" s="673">
        <f t="shared" si="143"/>
        <v>0</v>
      </c>
      <c r="V104" s="672">
        <f t="shared" si="158"/>
        <v>0.82033431909726495</v>
      </c>
      <c r="W104" s="653">
        <f t="shared" si="114"/>
        <v>0.2</v>
      </c>
      <c r="X104" s="653">
        <f t="shared" si="159"/>
        <v>0</v>
      </c>
      <c r="Y104" s="653">
        <f t="shared" si="160"/>
        <v>0</v>
      </c>
      <c r="Z104" s="653">
        <f t="shared" si="161"/>
        <v>0</v>
      </c>
      <c r="AA104" s="652" t="str">
        <f t="shared" si="162"/>
        <v>No</v>
      </c>
      <c r="AB104" s="673">
        <f t="shared" si="144"/>
        <v>0</v>
      </c>
      <c r="AC104" s="672">
        <f t="shared" si="163"/>
        <v>0.84127156427825689</v>
      </c>
      <c r="AD104" s="653">
        <f t="shared" si="115"/>
        <v>0.1</v>
      </c>
      <c r="AE104" s="653">
        <f t="shared" si="164"/>
        <v>0</v>
      </c>
      <c r="AF104" s="653">
        <f t="shared" si="165"/>
        <v>0</v>
      </c>
      <c r="AG104" s="653">
        <f t="shared" si="166"/>
        <v>0</v>
      </c>
      <c r="AH104" s="653" t="str">
        <f t="shared" si="167"/>
        <v>No</v>
      </c>
      <c r="AI104" s="673">
        <f t="shared" si="145"/>
        <v>0</v>
      </c>
      <c r="AJ104" s="677">
        <f t="shared" si="168"/>
        <v>0.86293596588707466</v>
      </c>
      <c r="AK104" s="657">
        <f t="shared" si="169"/>
        <v>6.1666666666666703E-2</v>
      </c>
      <c r="AL104" s="657">
        <f t="shared" si="170"/>
        <v>0</v>
      </c>
      <c r="AM104" s="657">
        <f t="shared" si="171"/>
        <v>0</v>
      </c>
      <c r="AN104" s="657">
        <f t="shared" si="172"/>
        <v>0</v>
      </c>
      <c r="AO104" s="657" t="str">
        <f t="shared" si="173"/>
        <v>No</v>
      </c>
      <c r="AP104" s="658">
        <f t="shared" si="146"/>
        <v>0</v>
      </c>
    </row>
    <row r="105" spans="1:42" ht="15">
      <c r="A105" s="778" t="s">
        <v>123</v>
      </c>
      <c r="B105" s="644">
        <v>49</v>
      </c>
      <c r="C105" s="767">
        <v>97</v>
      </c>
      <c r="D105" s="665">
        <v>10</v>
      </c>
      <c r="E105" s="687">
        <v>0.77386393760054262</v>
      </c>
      <c r="F105" s="667">
        <v>0.09</v>
      </c>
      <c r="G105" s="720">
        <v>1</v>
      </c>
      <c r="H105" s="672">
        <f>IF($D105&lt;=1,0.5*$D105,IF($D105&lt;=51,0.09*LN($D105)+0.5,0.85))</f>
        <v>0.70723265836946414</v>
      </c>
      <c r="I105" s="653">
        <v>0.5</v>
      </c>
      <c r="J105" s="653">
        <f>IF($E105&gt;H105,1,0)</f>
        <v>1</v>
      </c>
      <c r="K105" s="653">
        <f>IF(I105&gt;$F105,1,0)</f>
        <v>1</v>
      </c>
      <c r="L105" s="653">
        <f>SUM(J105:K105)</f>
        <v>2</v>
      </c>
      <c r="M105" s="653" t="str">
        <f>IF(L105=2,"Yes","No")</f>
        <v>Yes</v>
      </c>
      <c r="N105" s="673">
        <f t="shared" si="147"/>
        <v>0</v>
      </c>
      <c r="O105" s="672">
        <f>IF($D105&lt;=1,0.48*$D105+0.14,IF($D105&lt;=49,0.0626*LN($D105)+0.622,0.87))</f>
        <v>0.76614182682142729</v>
      </c>
      <c r="P105" s="653">
        <f t="shared" ref="P105:P119" si="174">IF($D105&lt;49,0.3,0.5)</f>
        <v>0.3</v>
      </c>
      <c r="Q105" s="653">
        <f>IF($E105&gt;O105,1,0)</f>
        <v>1</v>
      </c>
      <c r="R105" s="653">
        <f>IF(P105&gt;$F105,1,0)</f>
        <v>1</v>
      </c>
      <c r="S105" s="653">
        <f>SUM(Q105:R105)</f>
        <v>2</v>
      </c>
      <c r="T105" s="653" t="str">
        <f>IF(S105=2,"Yes","No")</f>
        <v>Yes</v>
      </c>
      <c r="U105" s="673">
        <f t="shared" si="143"/>
        <v>1</v>
      </c>
      <c r="V105" s="672">
        <f>IF($D105&lt;=1,0.49*$D105+0.15,IF($D105&lt;=49,0.0701*LN($D105)-0.0011*$D105+0.647,0.87))</f>
        <v>0.79741121501888257</v>
      </c>
      <c r="W105" s="653">
        <f t="shared" ref="W105:W119" si="175">IF($D105&lt;49,0.2,0.23)</f>
        <v>0.2</v>
      </c>
      <c r="X105" s="653">
        <f>IF($E105&gt;V105,1,0)</f>
        <v>0</v>
      </c>
      <c r="Y105" s="653">
        <f>IF(W105&gt;$F105,1,0)</f>
        <v>1</v>
      </c>
      <c r="Z105" s="653">
        <f>SUM(X105:Y105)</f>
        <v>1</v>
      </c>
      <c r="AA105" s="652" t="str">
        <f>IF(Z105=2,"Yes","No")</f>
        <v>No</v>
      </c>
      <c r="AB105" s="673">
        <f t="shared" si="144"/>
        <v>0</v>
      </c>
      <c r="AC105" s="672">
        <f>IF($D105&lt;=1,0.5*$D105+0.16,IF($D105&lt;=49,0.071*LN($D105)-0.0014*$D105+0.67,0.879779149034727))</f>
        <v>0.8194835416025773</v>
      </c>
      <c r="AD105" s="653">
        <f t="shared" ref="AD105:AD119" si="176">IF($D105&lt;49,0.1,0.21)</f>
        <v>0.1</v>
      </c>
      <c r="AE105" s="653">
        <f>IF($E105&gt;AC105,1,0)</f>
        <v>0</v>
      </c>
      <c r="AF105" s="653">
        <f>IF(AD105&gt;$F105,1,0)</f>
        <v>1</v>
      </c>
      <c r="AG105" s="653">
        <f>SUM(AE105:AF105)</f>
        <v>1</v>
      </c>
      <c r="AH105" s="653" t="str">
        <f>IF(AG105=2,"Yes","No")</f>
        <v>No</v>
      </c>
      <c r="AI105" s="673">
        <f t="shared" si="145"/>
        <v>0</v>
      </c>
      <c r="AJ105" s="677">
        <f>IF($D105&lt;=1,0.52*$D105+0.17,IF($D105&lt;=49,0.079*LN($D105)-0.0014*$D105+0.67,0.9104))</f>
        <v>0.83790422234652961</v>
      </c>
      <c r="AK105" s="657">
        <f t="shared" ref="AK105" si="177">IF($D105&lt;49,0.0616666666666667,0.165)</f>
        <v>6.1666666666666703E-2</v>
      </c>
      <c r="AL105" s="657">
        <f>IF($E105&gt;AJ105,1,0)</f>
        <v>0</v>
      </c>
      <c r="AM105" s="657">
        <f>IF(AK105&gt;$F105,1,0)</f>
        <v>0</v>
      </c>
      <c r="AN105" s="657">
        <f>SUM(AL105:AM105)</f>
        <v>0</v>
      </c>
      <c r="AO105" s="657" t="str">
        <f>IF(AN105=2,"Yes","No")</f>
        <v>No</v>
      </c>
      <c r="AP105" s="658">
        <f t="shared" si="146"/>
        <v>0</v>
      </c>
    </row>
    <row r="106" spans="1:42" ht="15">
      <c r="A106" s="777" t="s">
        <v>125</v>
      </c>
      <c r="B106" s="643">
        <v>51</v>
      </c>
      <c r="C106" s="766">
        <v>1</v>
      </c>
      <c r="D106" s="659">
        <v>7.5</v>
      </c>
      <c r="E106" s="660">
        <v>0.77764356577456306</v>
      </c>
      <c r="F106" s="661">
        <v>0.10199999999999999</v>
      </c>
      <c r="G106" s="688">
        <v>1</v>
      </c>
      <c r="H106" s="668">
        <f t="shared" ref="H106:H119" si="178">IF($D106&lt;=1,0.5*$D106,IF($D106&lt;=51,0.09*LN($D106)+0.5,0.85))</f>
        <v>0.68134127184880378</v>
      </c>
      <c r="I106" s="651">
        <v>0.5</v>
      </c>
      <c r="J106" s="651">
        <f t="shared" ref="J106:J119" si="179">IF($E106&gt;H106,1,0)</f>
        <v>1</v>
      </c>
      <c r="K106" s="651">
        <f t="shared" ref="K106:K119" si="180">IF(I106&gt;$F106,1,0)</f>
        <v>1</v>
      </c>
      <c r="L106" s="651">
        <f t="shared" ref="L106:L119" si="181">SUM(J106:K106)</f>
        <v>2</v>
      </c>
      <c r="M106" s="651" t="str">
        <f t="shared" ref="M106:M119" si="182">IF(L106=2,"Yes","No")</f>
        <v>Yes</v>
      </c>
      <c r="N106" s="669">
        <f t="shared" si="147"/>
        <v>0</v>
      </c>
      <c r="O106" s="668">
        <f t="shared" ref="O106:O119" si="183">IF($D106&lt;=1,0.48*$D106+0.14,IF($D106&lt;=49,0.0626*LN($D106)+0.622,0.87))</f>
        <v>0.74813292908594575</v>
      </c>
      <c r="P106" s="651">
        <f t="shared" si="174"/>
        <v>0.3</v>
      </c>
      <c r="Q106" s="651">
        <f t="shared" ref="Q106:Q119" si="184">IF($E106&gt;O106,1,0)</f>
        <v>1</v>
      </c>
      <c r="R106" s="651">
        <f t="shared" ref="R106:R119" si="185">IF(P106&gt;$F106,1,0)</f>
        <v>1</v>
      </c>
      <c r="S106" s="651">
        <f t="shared" ref="S106:S119" si="186">SUM(Q106:R106)</f>
        <v>2</v>
      </c>
      <c r="T106" s="651" t="str">
        <f t="shared" ref="T106:T119" si="187">IF(S106=2,"Yes","No")</f>
        <v>Yes</v>
      </c>
      <c r="U106" s="669">
        <f t="shared" si="143"/>
        <v>1</v>
      </c>
      <c r="V106" s="668">
        <f t="shared" ref="V106:V119" si="188">IF($D106&lt;=1,0.49*$D106+0.15,IF($D106&lt;=49,0.0701*LN($D106)-0.0011*$D106+0.647,0.87))</f>
        <v>0.77999470174001273</v>
      </c>
      <c r="W106" s="651">
        <f t="shared" si="175"/>
        <v>0.2</v>
      </c>
      <c r="X106" s="651">
        <f t="shared" ref="X106:X119" si="189">IF($E106&gt;V106,1,0)</f>
        <v>0</v>
      </c>
      <c r="Y106" s="651">
        <f t="shared" ref="Y106:Y119" si="190">IF(W106&gt;$F106,1,0)</f>
        <v>1</v>
      </c>
      <c r="Z106" s="651">
        <f t="shared" ref="Z106:Z119" si="191">SUM(X106:Y106)</f>
        <v>1</v>
      </c>
      <c r="AA106" s="651" t="str">
        <f t="shared" ref="AA106:AA119" si="192">IF(Z106=2,"Yes","No")</f>
        <v>No</v>
      </c>
      <c r="AB106" s="669">
        <f t="shared" si="144"/>
        <v>0</v>
      </c>
      <c r="AC106" s="668">
        <f t="shared" ref="AC106:AC119" si="193">IF($D106&lt;=1,0.5*$D106+0.16,IF($D106&lt;=49,0.071*LN($D106)-0.0014*$D106+0.67,0.879779149034727))</f>
        <v>0.80255811445850078</v>
      </c>
      <c r="AD106" s="651">
        <f t="shared" si="176"/>
        <v>0.1</v>
      </c>
      <c r="AE106" s="651">
        <f t="shared" ref="AE106:AE119" si="194">IF($E106&gt;AC106,1,0)</f>
        <v>0</v>
      </c>
      <c r="AF106" s="651">
        <f t="shared" ref="AF106:AF119" si="195">IF(AD106&gt;$F106,1,0)</f>
        <v>0</v>
      </c>
      <c r="AG106" s="651">
        <f t="shared" ref="AG106:AG119" si="196">SUM(AE106:AF106)</f>
        <v>0</v>
      </c>
      <c r="AH106" s="651" t="str">
        <f t="shared" ref="AH106:AH119" si="197">IF(AG106=2,"Yes","No")</f>
        <v>No</v>
      </c>
      <c r="AI106" s="669">
        <f t="shared" si="145"/>
        <v>0</v>
      </c>
      <c r="AJ106" s="668">
        <f t="shared" ref="AJ106:AJ119" si="198">IF($D106&lt;=1,0.52*$D106+0.17,IF($D106&lt;=49,0.079*LN($D106)-0.0014*$D106+0.67,0.9104))</f>
        <v>0.81867733862283898</v>
      </c>
      <c r="AK106" s="654">
        <f t="shared" ref="AK106:AK119" si="199">IF($D106&lt;49,0.0616666666666667,0.165)</f>
        <v>6.1666666666666703E-2</v>
      </c>
      <c r="AL106" s="651">
        <f t="shared" ref="AL106:AL119" si="200">IF($E106&gt;AJ106,1,0)</f>
        <v>0</v>
      </c>
      <c r="AM106" s="651">
        <f t="shared" ref="AM106:AM119" si="201">IF(AK106&gt;$F106,1,0)</f>
        <v>0</v>
      </c>
      <c r="AN106" s="651">
        <f t="shared" ref="AN106:AN119" si="202">SUM(AL106:AM106)</f>
        <v>0</v>
      </c>
      <c r="AO106" s="651" t="str">
        <f t="shared" ref="AO106:AO119" si="203">IF(AN106=2,"Yes","No")</f>
        <v>No</v>
      </c>
      <c r="AP106" s="669">
        <f t="shared" si="146"/>
        <v>0</v>
      </c>
    </row>
    <row r="107" spans="1:42" ht="15">
      <c r="A107" s="777" t="s">
        <v>125</v>
      </c>
      <c r="B107" s="643">
        <v>51</v>
      </c>
      <c r="C107" s="766">
        <v>2</v>
      </c>
      <c r="D107" s="659">
        <v>9.9600000000000009</v>
      </c>
      <c r="E107" s="660">
        <v>0.72057011128898418</v>
      </c>
      <c r="F107" s="661">
        <v>1.27</v>
      </c>
      <c r="G107" s="688">
        <v>1</v>
      </c>
      <c r="H107" s="668">
        <f t="shared" si="178"/>
        <v>0.70687193644368562</v>
      </c>
      <c r="I107" s="651">
        <v>0.5</v>
      </c>
      <c r="J107" s="651">
        <f t="shared" si="179"/>
        <v>1</v>
      </c>
      <c r="K107" s="651">
        <f t="shared" si="180"/>
        <v>0</v>
      </c>
      <c r="L107" s="651">
        <f t="shared" si="181"/>
        <v>1</v>
      </c>
      <c r="M107" s="651" t="str">
        <f t="shared" si="182"/>
        <v>No</v>
      </c>
      <c r="N107" s="669">
        <f t="shared" si="147"/>
        <v>0</v>
      </c>
      <c r="O107" s="668">
        <f t="shared" si="183"/>
        <v>0.76589092468194131</v>
      </c>
      <c r="P107" s="651">
        <f t="shared" si="174"/>
        <v>0.3</v>
      </c>
      <c r="Q107" s="651">
        <f t="shared" si="184"/>
        <v>0</v>
      </c>
      <c r="R107" s="651">
        <f t="shared" si="185"/>
        <v>0</v>
      </c>
      <c r="S107" s="651">
        <f t="shared" si="186"/>
        <v>0</v>
      </c>
      <c r="T107" s="651" t="str">
        <f t="shared" si="187"/>
        <v>No</v>
      </c>
      <c r="U107" s="669">
        <f t="shared" si="143"/>
        <v>0</v>
      </c>
      <c r="V107" s="668">
        <f t="shared" si="188"/>
        <v>0.79717425271891518</v>
      </c>
      <c r="W107" s="651">
        <f t="shared" si="175"/>
        <v>0.2</v>
      </c>
      <c r="X107" s="651">
        <f t="shared" si="189"/>
        <v>0</v>
      </c>
      <c r="Y107" s="651">
        <f t="shared" si="190"/>
        <v>0</v>
      </c>
      <c r="Z107" s="651">
        <f t="shared" si="191"/>
        <v>0</v>
      </c>
      <c r="AA107" s="650" t="str">
        <f t="shared" si="192"/>
        <v>No</v>
      </c>
      <c r="AB107" s="669">
        <f t="shared" si="144"/>
        <v>0</v>
      </c>
      <c r="AC107" s="668">
        <f t="shared" si="193"/>
        <v>0.81925497208335196</v>
      </c>
      <c r="AD107" s="651">
        <f t="shared" si="176"/>
        <v>0.1</v>
      </c>
      <c r="AE107" s="651">
        <f t="shared" si="194"/>
        <v>0</v>
      </c>
      <c r="AF107" s="651">
        <f t="shared" si="195"/>
        <v>0</v>
      </c>
      <c r="AG107" s="651">
        <f t="shared" si="196"/>
        <v>0</v>
      </c>
      <c r="AH107" s="651" t="str">
        <f t="shared" si="197"/>
        <v>No</v>
      </c>
      <c r="AI107" s="669">
        <f t="shared" si="145"/>
        <v>0</v>
      </c>
      <c r="AJ107" s="674">
        <f t="shared" si="198"/>
        <v>0.83764358865612409</v>
      </c>
      <c r="AK107" s="654">
        <f t="shared" si="199"/>
        <v>6.1666666666666703E-2</v>
      </c>
      <c r="AL107" s="654">
        <f t="shared" si="200"/>
        <v>0</v>
      </c>
      <c r="AM107" s="654">
        <f t="shared" si="201"/>
        <v>0</v>
      </c>
      <c r="AN107" s="654">
        <f t="shared" si="202"/>
        <v>0</v>
      </c>
      <c r="AO107" s="654" t="str">
        <f t="shared" si="203"/>
        <v>No</v>
      </c>
      <c r="AP107" s="655">
        <f t="shared" si="146"/>
        <v>0</v>
      </c>
    </row>
    <row r="108" spans="1:42" ht="15">
      <c r="A108" s="777" t="s">
        <v>125</v>
      </c>
      <c r="B108" s="643">
        <v>51</v>
      </c>
      <c r="C108" s="766">
        <v>3</v>
      </c>
      <c r="D108" s="659">
        <v>14.399999999999999</v>
      </c>
      <c r="E108" s="660">
        <v>0.81570639760443386</v>
      </c>
      <c r="F108" s="661">
        <v>9.4E-2</v>
      </c>
      <c r="G108" s="688">
        <v>2</v>
      </c>
      <c r="H108" s="668">
        <f t="shared" si="178"/>
        <v>0.74005053859237591</v>
      </c>
      <c r="I108" s="651">
        <v>0.5</v>
      </c>
      <c r="J108" s="651">
        <f t="shared" si="179"/>
        <v>1</v>
      </c>
      <c r="K108" s="651">
        <f t="shared" si="180"/>
        <v>1</v>
      </c>
      <c r="L108" s="651">
        <f t="shared" si="181"/>
        <v>2</v>
      </c>
      <c r="M108" s="651" t="str">
        <f t="shared" si="182"/>
        <v>Yes</v>
      </c>
      <c r="N108" s="669">
        <f t="shared" si="147"/>
        <v>0</v>
      </c>
      <c r="O108" s="668">
        <f t="shared" si="183"/>
        <v>0.78896848573203038</v>
      </c>
      <c r="P108" s="651">
        <f t="shared" si="174"/>
        <v>0.3</v>
      </c>
      <c r="Q108" s="651">
        <f t="shared" si="184"/>
        <v>1</v>
      </c>
      <c r="R108" s="651">
        <f t="shared" si="185"/>
        <v>1</v>
      </c>
      <c r="S108" s="651">
        <f t="shared" si="186"/>
        <v>2</v>
      </c>
      <c r="T108" s="651" t="str">
        <f t="shared" si="187"/>
        <v>Yes</v>
      </c>
      <c r="U108" s="669">
        <f t="shared" si="143"/>
        <v>1</v>
      </c>
      <c r="V108" s="668">
        <f t="shared" si="188"/>
        <v>0.81813269728139504</v>
      </c>
      <c r="W108" s="651">
        <f t="shared" si="175"/>
        <v>0.2</v>
      </c>
      <c r="X108" s="651">
        <f t="shared" si="189"/>
        <v>0</v>
      </c>
      <c r="Y108" s="651">
        <f t="shared" si="190"/>
        <v>1</v>
      </c>
      <c r="Z108" s="651">
        <f t="shared" si="191"/>
        <v>1</v>
      </c>
      <c r="AA108" s="650" t="str">
        <f t="shared" si="192"/>
        <v>No</v>
      </c>
      <c r="AB108" s="669">
        <f t="shared" si="144"/>
        <v>0</v>
      </c>
      <c r="AC108" s="668">
        <f t="shared" si="193"/>
        <v>0.8392132026673188</v>
      </c>
      <c r="AD108" s="651">
        <f t="shared" si="176"/>
        <v>0.1</v>
      </c>
      <c r="AE108" s="651">
        <f t="shared" si="194"/>
        <v>0</v>
      </c>
      <c r="AF108" s="651">
        <f t="shared" si="195"/>
        <v>1</v>
      </c>
      <c r="AG108" s="651">
        <f t="shared" si="196"/>
        <v>1</v>
      </c>
      <c r="AH108" s="651" t="str">
        <f t="shared" si="197"/>
        <v>No</v>
      </c>
      <c r="AI108" s="669">
        <f t="shared" si="145"/>
        <v>0</v>
      </c>
      <c r="AJ108" s="674">
        <f t="shared" si="198"/>
        <v>0.86055102831997443</v>
      </c>
      <c r="AK108" s="654">
        <f t="shared" si="199"/>
        <v>6.1666666666666703E-2</v>
      </c>
      <c r="AL108" s="654">
        <f t="shared" si="200"/>
        <v>0</v>
      </c>
      <c r="AM108" s="654">
        <f t="shared" si="201"/>
        <v>0</v>
      </c>
      <c r="AN108" s="654">
        <f t="shared" si="202"/>
        <v>0</v>
      </c>
      <c r="AO108" s="654" t="str">
        <f t="shared" si="203"/>
        <v>No</v>
      </c>
      <c r="AP108" s="655">
        <f t="shared" si="146"/>
        <v>0</v>
      </c>
    </row>
    <row r="109" spans="1:42" ht="15">
      <c r="A109" s="777" t="s">
        <v>125</v>
      </c>
      <c r="B109" s="643">
        <v>51</v>
      </c>
      <c r="C109" s="766">
        <v>4</v>
      </c>
      <c r="D109" s="659">
        <v>18</v>
      </c>
      <c r="E109" s="660">
        <v>0.83641406480956926</v>
      </c>
      <c r="F109" s="661">
        <v>0.3</v>
      </c>
      <c r="G109" s="688">
        <v>2</v>
      </c>
      <c r="H109" s="668">
        <f t="shared" si="178"/>
        <v>0.76013345821065481</v>
      </c>
      <c r="I109" s="651">
        <v>0.5</v>
      </c>
      <c r="J109" s="651">
        <f t="shared" si="179"/>
        <v>1</v>
      </c>
      <c r="K109" s="651">
        <f t="shared" si="180"/>
        <v>1</v>
      </c>
      <c r="L109" s="651">
        <f t="shared" si="181"/>
        <v>2</v>
      </c>
      <c r="M109" s="651" t="str">
        <f t="shared" si="182"/>
        <v>Yes</v>
      </c>
      <c r="N109" s="669">
        <f t="shared" si="147"/>
        <v>1</v>
      </c>
      <c r="O109" s="668">
        <f t="shared" si="183"/>
        <v>0.80293727204429988</v>
      </c>
      <c r="P109" s="651">
        <f t="shared" si="174"/>
        <v>0.3</v>
      </c>
      <c r="Q109" s="651">
        <f t="shared" si="184"/>
        <v>1</v>
      </c>
      <c r="R109" s="651">
        <f t="shared" si="185"/>
        <v>0</v>
      </c>
      <c r="S109" s="651">
        <f t="shared" si="186"/>
        <v>1</v>
      </c>
      <c r="T109" s="651" t="str">
        <f t="shared" si="187"/>
        <v>No</v>
      </c>
      <c r="U109" s="669">
        <f t="shared" si="143"/>
        <v>0</v>
      </c>
      <c r="V109" s="668">
        <f t="shared" si="188"/>
        <v>0.82981506022852114</v>
      </c>
      <c r="W109" s="651">
        <f t="shared" si="175"/>
        <v>0.2</v>
      </c>
      <c r="X109" s="651">
        <f t="shared" si="189"/>
        <v>1</v>
      </c>
      <c r="Y109" s="651">
        <f t="shared" si="190"/>
        <v>0</v>
      </c>
      <c r="Z109" s="651">
        <f t="shared" si="191"/>
        <v>1</v>
      </c>
      <c r="AA109" s="650" t="str">
        <f t="shared" si="192"/>
        <v>No</v>
      </c>
      <c r="AB109" s="669">
        <f t="shared" si="144"/>
        <v>0</v>
      </c>
      <c r="AC109" s="668">
        <f t="shared" si="193"/>
        <v>0.85001639481062774</v>
      </c>
      <c r="AD109" s="651">
        <f t="shared" si="176"/>
        <v>0.1</v>
      </c>
      <c r="AE109" s="651">
        <f t="shared" si="194"/>
        <v>0</v>
      </c>
      <c r="AF109" s="651">
        <f t="shared" si="195"/>
        <v>0</v>
      </c>
      <c r="AG109" s="651">
        <f t="shared" si="196"/>
        <v>0</v>
      </c>
      <c r="AH109" s="651" t="str">
        <f t="shared" si="197"/>
        <v>No</v>
      </c>
      <c r="AI109" s="669">
        <f t="shared" si="145"/>
        <v>0</v>
      </c>
      <c r="AJ109" s="674">
        <f t="shared" si="198"/>
        <v>0.87313936887379706</v>
      </c>
      <c r="AK109" s="654">
        <f t="shared" si="199"/>
        <v>6.1666666666666703E-2</v>
      </c>
      <c r="AL109" s="654">
        <f t="shared" si="200"/>
        <v>0</v>
      </c>
      <c r="AM109" s="654">
        <f t="shared" si="201"/>
        <v>0</v>
      </c>
      <c r="AN109" s="654">
        <f t="shared" si="202"/>
        <v>0</v>
      </c>
      <c r="AO109" s="654" t="str">
        <f t="shared" si="203"/>
        <v>No</v>
      </c>
      <c r="AP109" s="655">
        <f t="shared" si="146"/>
        <v>0</v>
      </c>
    </row>
    <row r="110" spans="1:42" ht="15">
      <c r="A110" s="777" t="s">
        <v>125</v>
      </c>
      <c r="B110" s="643">
        <v>51</v>
      </c>
      <c r="C110" s="766">
        <v>5</v>
      </c>
      <c r="D110" s="659">
        <v>24</v>
      </c>
      <c r="E110" s="660">
        <v>0.84584014887766479</v>
      </c>
      <c r="F110" s="661">
        <v>8.1000000000000003E-2</v>
      </c>
      <c r="G110" s="688">
        <v>2</v>
      </c>
      <c r="H110" s="668">
        <f t="shared" si="178"/>
        <v>0.78602484473131518</v>
      </c>
      <c r="I110" s="651">
        <v>0.5</v>
      </c>
      <c r="J110" s="651">
        <f t="shared" si="179"/>
        <v>1</v>
      </c>
      <c r="K110" s="651">
        <f t="shared" si="180"/>
        <v>1</v>
      </c>
      <c r="L110" s="651">
        <f t="shared" si="181"/>
        <v>2</v>
      </c>
      <c r="M110" s="651" t="str">
        <f t="shared" si="182"/>
        <v>Yes</v>
      </c>
      <c r="N110" s="669">
        <f t="shared" si="147"/>
        <v>0</v>
      </c>
      <c r="O110" s="668">
        <f t="shared" si="183"/>
        <v>0.82094616977978141</v>
      </c>
      <c r="P110" s="651">
        <f t="shared" si="174"/>
        <v>0.3</v>
      </c>
      <c r="Q110" s="651">
        <f t="shared" si="184"/>
        <v>1</v>
      </c>
      <c r="R110" s="651">
        <f t="shared" si="185"/>
        <v>1</v>
      </c>
      <c r="S110" s="651">
        <f t="shared" si="186"/>
        <v>2</v>
      </c>
      <c r="T110" s="651" t="str">
        <f t="shared" si="187"/>
        <v>Yes</v>
      </c>
      <c r="U110" s="669">
        <f t="shared" si="143"/>
        <v>0</v>
      </c>
      <c r="V110" s="668">
        <f t="shared" si="188"/>
        <v>0.84338157350739096</v>
      </c>
      <c r="W110" s="651">
        <f t="shared" si="175"/>
        <v>0.2</v>
      </c>
      <c r="X110" s="651">
        <f t="shared" si="189"/>
        <v>1</v>
      </c>
      <c r="Y110" s="651">
        <f t="shared" si="190"/>
        <v>1</v>
      </c>
      <c r="Z110" s="651">
        <f t="shared" si="191"/>
        <v>2</v>
      </c>
      <c r="AA110" s="650" t="str">
        <f t="shared" si="192"/>
        <v>Yes</v>
      </c>
      <c r="AB110" s="669">
        <f t="shared" si="144"/>
        <v>1</v>
      </c>
      <c r="AC110" s="668">
        <f t="shared" si="193"/>
        <v>0.86204182195470413</v>
      </c>
      <c r="AD110" s="651">
        <f t="shared" si="176"/>
        <v>0.1</v>
      </c>
      <c r="AE110" s="651">
        <f t="shared" si="194"/>
        <v>0</v>
      </c>
      <c r="AF110" s="651">
        <f t="shared" si="195"/>
        <v>1</v>
      </c>
      <c r="AG110" s="651">
        <f t="shared" si="196"/>
        <v>1</v>
      </c>
      <c r="AH110" s="651" t="str">
        <f t="shared" si="197"/>
        <v>No</v>
      </c>
      <c r="AI110" s="669">
        <f t="shared" si="145"/>
        <v>0</v>
      </c>
      <c r="AJ110" s="674">
        <f t="shared" si="198"/>
        <v>0.88746625259748779</v>
      </c>
      <c r="AK110" s="654">
        <f t="shared" si="199"/>
        <v>6.1666666666666703E-2</v>
      </c>
      <c r="AL110" s="654">
        <f t="shared" si="200"/>
        <v>0</v>
      </c>
      <c r="AM110" s="654">
        <f t="shared" si="201"/>
        <v>0</v>
      </c>
      <c r="AN110" s="654">
        <f t="shared" si="202"/>
        <v>0</v>
      </c>
      <c r="AO110" s="654" t="str">
        <f t="shared" si="203"/>
        <v>No</v>
      </c>
      <c r="AP110" s="655">
        <f t="shared" si="146"/>
        <v>0</v>
      </c>
    </row>
    <row r="111" spans="1:42" ht="15">
      <c r="A111" s="777" t="s">
        <v>125</v>
      </c>
      <c r="B111" s="643">
        <v>51</v>
      </c>
      <c r="C111" s="766">
        <v>109</v>
      </c>
      <c r="D111" s="659">
        <v>18</v>
      </c>
      <c r="E111" s="660">
        <v>0.83304150173809333</v>
      </c>
      <c r="F111" s="661">
        <v>0.35870000000000002</v>
      </c>
      <c r="G111" s="688">
        <v>2</v>
      </c>
      <c r="H111" s="668">
        <f t="shared" si="178"/>
        <v>0.76013345821065481</v>
      </c>
      <c r="I111" s="651">
        <v>0.5</v>
      </c>
      <c r="J111" s="651">
        <f t="shared" si="179"/>
        <v>1</v>
      </c>
      <c r="K111" s="651">
        <f t="shared" si="180"/>
        <v>1</v>
      </c>
      <c r="L111" s="651">
        <f t="shared" si="181"/>
        <v>2</v>
      </c>
      <c r="M111" s="651" t="str">
        <f t="shared" si="182"/>
        <v>Yes</v>
      </c>
      <c r="N111" s="669">
        <f t="shared" si="147"/>
        <v>1</v>
      </c>
      <c r="O111" s="668">
        <f t="shared" si="183"/>
        <v>0.80293727204429988</v>
      </c>
      <c r="P111" s="651">
        <f t="shared" si="174"/>
        <v>0.3</v>
      </c>
      <c r="Q111" s="651">
        <f t="shared" si="184"/>
        <v>1</v>
      </c>
      <c r="R111" s="651">
        <f t="shared" si="185"/>
        <v>0</v>
      </c>
      <c r="S111" s="651">
        <f t="shared" si="186"/>
        <v>1</v>
      </c>
      <c r="T111" s="651" t="str">
        <f t="shared" si="187"/>
        <v>No</v>
      </c>
      <c r="U111" s="669">
        <f t="shared" si="143"/>
        <v>0</v>
      </c>
      <c r="V111" s="668">
        <f t="shared" si="188"/>
        <v>0.82981506022852114</v>
      </c>
      <c r="W111" s="651">
        <f t="shared" si="175"/>
        <v>0.2</v>
      </c>
      <c r="X111" s="651">
        <f t="shared" si="189"/>
        <v>1</v>
      </c>
      <c r="Y111" s="651">
        <f t="shared" si="190"/>
        <v>0</v>
      </c>
      <c r="Z111" s="651">
        <f t="shared" si="191"/>
        <v>1</v>
      </c>
      <c r="AA111" s="650" t="str">
        <f t="shared" si="192"/>
        <v>No</v>
      </c>
      <c r="AB111" s="669">
        <f t="shared" si="144"/>
        <v>0</v>
      </c>
      <c r="AC111" s="668">
        <f t="shared" si="193"/>
        <v>0.85001639481062774</v>
      </c>
      <c r="AD111" s="651">
        <f t="shared" si="176"/>
        <v>0.1</v>
      </c>
      <c r="AE111" s="651">
        <f t="shared" si="194"/>
        <v>0</v>
      </c>
      <c r="AF111" s="651">
        <f t="shared" si="195"/>
        <v>0</v>
      </c>
      <c r="AG111" s="651">
        <f t="shared" si="196"/>
        <v>0</v>
      </c>
      <c r="AH111" s="651" t="str">
        <f t="shared" si="197"/>
        <v>No</v>
      </c>
      <c r="AI111" s="669">
        <f t="shared" si="145"/>
        <v>0</v>
      </c>
      <c r="AJ111" s="674">
        <f t="shared" si="198"/>
        <v>0.87313936887379706</v>
      </c>
      <c r="AK111" s="654">
        <f t="shared" si="199"/>
        <v>6.1666666666666703E-2</v>
      </c>
      <c r="AL111" s="654">
        <f t="shared" si="200"/>
        <v>0</v>
      </c>
      <c r="AM111" s="654">
        <f t="shared" si="201"/>
        <v>0</v>
      </c>
      <c r="AN111" s="654">
        <f t="shared" si="202"/>
        <v>0</v>
      </c>
      <c r="AO111" s="654" t="str">
        <f t="shared" si="203"/>
        <v>No</v>
      </c>
      <c r="AP111" s="655">
        <f t="shared" si="146"/>
        <v>0</v>
      </c>
    </row>
    <row r="112" spans="1:42" ht="15">
      <c r="A112" s="778" t="s">
        <v>125</v>
      </c>
      <c r="B112" s="644">
        <v>51</v>
      </c>
      <c r="C112" s="767">
        <v>110</v>
      </c>
      <c r="D112" s="665">
        <v>18</v>
      </c>
      <c r="E112" s="687">
        <v>0.83129198283728312</v>
      </c>
      <c r="F112" s="667">
        <v>0.33950000000000002</v>
      </c>
      <c r="G112" s="720">
        <v>2</v>
      </c>
      <c r="H112" s="672">
        <f t="shared" si="178"/>
        <v>0.76013345821065481</v>
      </c>
      <c r="I112" s="653">
        <v>0.5</v>
      </c>
      <c r="J112" s="653">
        <f t="shared" si="179"/>
        <v>1</v>
      </c>
      <c r="K112" s="653">
        <f t="shared" si="180"/>
        <v>1</v>
      </c>
      <c r="L112" s="653">
        <f t="shared" si="181"/>
        <v>2</v>
      </c>
      <c r="M112" s="653" t="str">
        <f t="shared" si="182"/>
        <v>Yes</v>
      </c>
      <c r="N112" s="673">
        <f t="shared" si="147"/>
        <v>1</v>
      </c>
      <c r="O112" s="672">
        <f t="shared" si="183"/>
        <v>0.80293727204429988</v>
      </c>
      <c r="P112" s="653">
        <f t="shared" si="174"/>
        <v>0.3</v>
      </c>
      <c r="Q112" s="653">
        <f t="shared" si="184"/>
        <v>1</v>
      </c>
      <c r="R112" s="653">
        <f t="shared" si="185"/>
        <v>0</v>
      </c>
      <c r="S112" s="653">
        <f t="shared" si="186"/>
        <v>1</v>
      </c>
      <c r="T112" s="653" t="str">
        <f t="shared" si="187"/>
        <v>No</v>
      </c>
      <c r="U112" s="673">
        <f t="shared" si="143"/>
        <v>0</v>
      </c>
      <c r="V112" s="672">
        <f t="shared" si="188"/>
        <v>0.82981506022852114</v>
      </c>
      <c r="W112" s="653">
        <f t="shared" si="175"/>
        <v>0.2</v>
      </c>
      <c r="X112" s="653">
        <f t="shared" si="189"/>
        <v>1</v>
      </c>
      <c r="Y112" s="653">
        <f t="shared" si="190"/>
        <v>0</v>
      </c>
      <c r="Z112" s="653">
        <f t="shared" si="191"/>
        <v>1</v>
      </c>
      <c r="AA112" s="652" t="str">
        <f t="shared" si="192"/>
        <v>No</v>
      </c>
      <c r="AB112" s="673">
        <f t="shared" si="144"/>
        <v>0</v>
      </c>
      <c r="AC112" s="672">
        <f t="shared" si="193"/>
        <v>0.85001639481062774</v>
      </c>
      <c r="AD112" s="653">
        <f t="shared" si="176"/>
        <v>0.1</v>
      </c>
      <c r="AE112" s="653">
        <f t="shared" si="194"/>
        <v>0</v>
      </c>
      <c r="AF112" s="653">
        <f t="shared" si="195"/>
        <v>0</v>
      </c>
      <c r="AG112" s="653">
        <f t="shared" si="196"/>
        <v>0</v>
      </c>
      <c r="AH112" s="653" t="str">
        <f t="shared" si="197"/>
        <v>No</v>
      </c>
      <c r="AI112" s="673">
        <f t="shared" si="145"/>
        <v>0</v>
      </c>
      <c r="AJ112" s="677">
        <f t="shared" si="198"/>
        <v>0.87313936887379706</v>
      </c>
      <c r="AK112" s="657">
        <f t="shared" si="199"/>
        <v>6.1666666666666703E-2</v>
      </c>
      <c r="AL112" s="657">
        <f t="shared" si="200"/>
        <v>0</v>
      </c>
      <c r="AM112" s="657">
        <f t="shared" si="201"/>
        <v>0</v>
      </c>
      <c r="AN112" s="657">
        <f t="shared" si="202"/>
        <v>0</v>
      </c>
      <c r="AO112" s="657" t="str">
        <f t="shared" si="203"/>
        <v>No</v>
      </c>
      <c r="AP112" s="658">
        <f t="shared" si="146"/>
        <v>0</v>
      </c>
    </row>
    <row r="113" spans="1:42" ht="15">
      <c r="A113" s="777" t="s">
        <v>181</v>
      </c>
      <c r="B113" s="643">
        <v>52</v>
      </c>
      <c r="C113" s="766">
        <v>51</v>
      </c>
      <c r="D113" s="659">
        <v>9</v>
      </c>
      <c r="E113" s="660">
        <v>0.88568215049873511</v>
      </c>
      <c r="F113" s="661">
        <v>9.2999999999999999E-2</v>
      </c>
      <c r="G113" s="688">
        <v>1</v>
      </c>
      <c r="H113" s="668">
        <f t="shared" si="178"/>
        <v>0.69775021196025977</v>
      </c>
      <c r="I113" s="651">
        <v>0.5</v>
      </c>
      <c r="J113" s="651">
        <f t="shared" si="179"/>
        <v>1</v>
      </c>
      <c r="K113" s="651">
        <f t="shared" si="180"/>
        <v>1</v>
      </c>
      <c r="L113" s="651">
        <f t="shared" si="181"/>
        <v>2</v>
      </c>
      <c r="M113" s="651" t="str">
        <f t="shared" si="182"/>
        <v>Yes</v>
      </c>
      <c r="N113" s="669">
        <f t="shared" si="147"/>
        <v>0</v>
      </c>
      <c r="O113" s="668">
        <f t="shared" si="183"/>
        <v>0.75954625854124735</v>
      </c>
      <c r="P113" s="651">
        <f t="shared" si="174"/>
        <v>0.3</v>
      </c>
      <c r="Q113" s="651">
        <f t="shared" si="184"/>
        <v>1</v>
      </c>
      <c r="R113" s="651">
        <f t="shared" si="185"/>
        <v>1</v>
      </c>
      <c r="S113" s="651">
        <f t="shared" si="186"/>
        <v>2</v>
      </c>
      <c r="T113" s="651" t="str">
        <f t="shared" si="187"/>
        <v>Yes</v>
      </c>
      <c r="U113" s="669">
        <f t="shared" si="143"/>
        <v>0</v>
      </c>
      <c r="V113" s="668">
        <f t="shared" si="188"/>
        <v>0.79112544287126907</v>
      </c>
      <c r="W113" s="651">
        <f t="shared" si="175"/>
        <v>0.2</v>
      </c>
      <c r="X113" s="651">
        <f t="shared" si="189"/>
        <v>1</v>
      </c>
      <c r="Y113" s="651">
        <f t="shared" si="190"/>
        <v>1</v>
      </c>
      <c r="Z113" s="651">
        <f t="shared" si="191"/>
        <v>2</v>
      </c>
      <c r="AA113" s="650" t="str">
        <f t="shared" si="192"/>
        <v>Yes</v>
      </c>
      <c r="AB113" s="669">
        <f t="shared" si="144"/>
        <v>0</v>
      </c>
      <c r="AC113" s="668">
        <f t="shared" si="193"/>
        <v>0.81340294499087162</v>
      </c>
      <c r="AD113" s="651">
        <f t="shared" si="176"/>
        <v>0.1</v>
      </c>
      <c r="AE113" s="651">
        <f t="shared" si="194"/>
        <v>1</v>
      </c>
      <c r="AF113" s="651">
        <f t="shared" si="195"/>
        <v>1</v>
      </c>
      <c r="AG113" s="651">
        <f t="shared" si="196"/>
        <v>2</v>
      </c>
      <c r="AH113" s="651" t="str">
        <f t="shared" si="197"/>
        <v>Yes</v>
      </c>
      <c r="AI113" s="669">
        <f t="shared" si="145"/>
        <v>1</v>
      </c>
      <c r="AJ113" s="674">
        <f t="shared" si="198"/>
        <v>0.83098074160956137</v>
      </c>
      <c r="AK113" s="654">
        <f t="shared" si="199"/>
        <v>6.1666666666666703E-2</v>
      </c>
      <c r="AL113" s="654">
        <f t="shared" si="200"/>
        <v>1</v>
      </c>
      <c r="AM113" s="654">
        <f t="shared" si="201"/>
        <v>0</v>
      </c>
      <c r="AN113" s="654">
        <f t="shared" si="202"/>
        <v>1</v>
      </c>
      <c r="AO113" s="654" t="str">
        <f t="shared" si="203"/>
        <v>No</v>
      </c>
      <c r="AP113" s="655">
        <f t="shared" si="146"/>
        <v>0</v>
      </c>
    </row>
    <row r="114" spans="1:42" ht="15">
      <c r="A114" s="777" t="s">
        <v>181</v>
      </c>
      <c r="B114" s="643">
        <v>52</v>
      </c>
      <c r="C114" s="766">
        <v>52</v>
      </c>
      <c r="D114" s="659">
        <v>18</v>
      </c>
      <c r="E114" s="660">
        <v>0.79611093968075941</v>
      </c>
      <c r="F114" s="661">
        <v>0.23</v>
      </c>
      <c r="G114" s="688">
        <v>2</v>
      </c>
      <c r="H114" s="668">
        <f t="shared" si="178"/>
        <v>0.76013345821065481</v>
      </c>
      <c r="I114" s="651">
        <v>0.5</v>
      </c>
      <c r="J114" s="651">
        <f t="shared" si="179"/>
        <v>1</v>
      </c>
      <c r="K114" s="651">
        <f t="shared" si="180"/>
        <v>1</v>
      </c>
      <c r="L114" s="651">
        <f t="shared" si="181"/>
        <v>2</v>
      </c>
      <c r="M114" s="651" t="str">
        <f t="shared" si="182"/>
        <v>Yes</v>
      </c>
      <c r="N114" s="669">
        <f t="shared" si="147"/>
        <v>1</v>
      </c>
      <c r="O114" s="668">
        <f t="shared" si="183"/>
        <v>0.80293727204429988</v>
      </c>
      <c r="P114" s="651">
        <f t="shared" si="174"/>
        <v>0.3</v>
      </c>
      <c r="Q114" s="651">
        <f t="shared" si="184"/>
        <v>0</v>
      </c>
      <c r="R114" s="651">
        <f t="shared" si="185"/>
        <v>1</v>
      </c>
      <c r="S114" s="651">
        <f t="shared" si="186"/>
        <v>1</v>
      </c>
      <c r="T114" s="651" t="str">
        <f t="shared" si="187"/>
        <v>No</v>
      </c>
      <c r="U114" s="669">
        <f t="shared" si="143"/>
        <v>0</v>
      </c>
      <c r="V114" s="668">
        <f t="shared" si="188"/>
        <v>0.82981506022852114</v>
      </c>
      <c r="W114" s="651">
        <f t="shared" si="175"/>
        <v>0.2</v>
      </c>
      <c r="X114" s="651">
        <f t="shared" si="189"/>
        <v>0</v>
      </c>
      <c r="Y114" s="651">
        <f t="shared" si="190"/>
        <v>0</v>
      </c>
      <c r="Z114" s="651">
        <f t="shared" si="191"/>
        <v>0</v>
      </c>
      <c r="AA114" s="650" t="str">
        <f t="shared" si="192"/>
        <v>No</v>
      </c>
      <c r="AB114" s="669">
        <f t="shared" si="144"/>
        <v>0</v>
      </c>
      <c r="AC114" s="668">
        <f t="shared" si="193"/>
        <v>0.85001639481062774</v>
      </c>
      <c r="AD114" s="651">
        <f t="shared" si="176"/>
        <v>0.1</v>
      </c>
      <c r="AE114" s="651">
        <f t="shared" si="194"/>
        <v>0</v>
      </c>
      <c r="AF114" s="651">
        <f t="shared" si="195"/>
        <v>0</v>
      </c>
      <c r="AG114" s="651">
        <f t="shared" si="196"/>
        <v>0</v>
      </c>
      <c r="AH114" s="651" t="str">
        <f t="shared" si="197"/>
        <v>No</v>
      </c>
      <c r="AI114" s="669">
        <f t="shared" si="145"/>
        <v>0</v>
      </c>
      <c r="AJ114" s="674">
        <f t="shared" si="198"/>
        <v>0.87313936887379706</v>
      </c>
      <c r="AK114" s="654">
        <f t="shared" si="199"/>
        <v>6.1666666666666703E-2</v>
      </c>
      <c r="AL114" s="654">
        <f t="shared" si="200"/>
        <v>0</v>
      </c>
      <c r="AM114" s="654">
        <f t="shared" si="201"/>
        <v>0</v>
      </c>
      <c r="AN114" s="654">
        <f t="shared" si="202"/>
        <v>0</v>
      </c>
      <c r="AO114" s="654" t="str">
        <f t="shared" si="203"/>
        <v>No</v>
      </c>
      <c r="AP114" s="655">
        <f t="shared" si="146"/>
        <v>0</v>
      </c>
    </row>
    <row r="115" spans="1:42" ht="15">
      <c r="A115" s="777" t="s">
        <v>181</v>
      </c>
      <c r="B115" s="643">
        <v>52</v>
      </c>
      <c r="C115" s="766">
        <v>53</v>
      </c>
      <c r="D115" s="659">
        <v>11.4</v>
      </c>
      <c r="E115" s="660">
        <v>0.82613701049672872</v>
      </c>
      <c r="F115" s="661">
        <v>0.125</v>
      </c>
      <c r="G115" s="688">
        <v>2</v>
      </c>
      <c r="H115" s="668">
        <f t="shared" si="178"/>
        <v>0.71902520198604047</v>
      </c>
      <c r="I115" s="651">
        <v>0.5</v>
      </c>
      <c r="J115" s="651">
        <f t="shared" si="179"/>
        <v>1</v>
      </c>
      <c r="K115" s="651">
        <f t="shared" si="180"/>
        <v>1</v>
      </c>
      <c r="L115" s="651">
        <f t="shared" si="181"/>
        <v>2</v>
      </c>
      <c r="M115" s="651" t="str">
        <f t="shared" si="182"/>
        <v>Yes</v>
      </c>
      <c r="N115" s="669">
        <f t="shared" si="147"/>
        <v>0</v>
      </c>
      <c r="O115" s="668">
        <f t="shared" si="183"/>
        <v>0.77434419604806815</v>
      </c>
      <c r="P115" s="651">
        <f t="shared" si="174"/>
        <v>0.3</v>
      </c>
      <c r="Q115" s="651">
        <f t="shared" si="184"/>
        <v>1</v>
      </c>
      <c r="R115" s="651">
        <f t="shared" si="185"/>
        <v>1</v>
      </c>
      <c r="S115" s="651">
        <f t="shared" si="186"/>
        <v>2</v>
      </c>
      <c r="T115" s="651" t="str">
        <f t="shared" si="187"/>
        <v>Yes</v>
      </c>
      <c r="U115" s="669">
        <f t="shared" si="143"/>
        <v>0</v>
      </c>
      <c r="V115" s="668">
        <f t="shared" si="188"/>
        <v>0.80505629621357155</v>
      </c>
      <c r="W115" s="651">
        <f t="shared" si="175"/>
        <v>0.2</v>
      </c>
      <c r="X115" s="651">
        <f t="shared" si="189"/>
        <v>1</v>
      </c>
      <c r="Y115" s="651">
        <f t="shared" si="190"/>
        <v>1</v>
      </c>
      <c r="Z115" s="651">
        <f t="shared" si="191"/>
        <v>2</v>
      </c>
      <c r="AA115" s="650" t="str">
        <f t="shared" si="192"/>
        <v>Yes</v>
      </c>
      <c r="AB115" s="669">
        <f t="shared" si="144"/>
        <v>1</v>
      </c>
      <c r="AC115" s="668">
        <f t="shared" si="193"/>
        <v>0.82682654823343193</v>
      </c>
      <c r="AD115" s="651">
        <f t="shared" si="176"/>
        <v>0.1</v>
      </c>
      <c r="AE115" s="651">
        <f t="shared" si="194"/>
        <v>0</v>
      </c>
      <c r="AF115" s="651">
        <f t="shared" si="195"/>
        <v>0</v>
      </c>
      <c r="AG115" s="651">
        <f t="shared" si="196"/>
        <v>0</v>
      </c>
      <c r="AH115" s="651" t="str">
        <f t="shared" si="197"/>
        <v>No</v>
      </c>
      <c r="AI115" s="669">
        <f t="shared" si="145"/>
        <v>0</v>
      </c>
      <c r="AJ115" s="674">
        <f t="shared" si="198"/>
        <v>0.84629545507663551</v>
      </c>
      <c r="AK115" s="654">
        <f t="shared" si="199"/>
        <v>6.1666666666666703E-2</v>
      </c>
      <c r="AL115" s="654">
        <f t="shared" si="200"/>
        <v>0</v>
      </c>
      <c r="AM115" s="654">
        <f t="shared" si="201"/>
        <v>0</v>
      </c>
      <c r="AN115" s="654">
        <f t="shared" si="202"/>
        <v>0</v>
      </c>
      <c r="AO115" s="654" t="str">
        <f t="shared" si="203"/>
        <v>No</v>
      </c>
      <c r="AP115" s="655">
        <f t="shared" si="146"/>
        <v>0</v>
      </c>
    </row>
    <row r="116" spans="1:42" ht="15">
      <c r="A116" s="777" t="s">
        <v>181</v>
      </c>
      <c r="B116" s="643">
        <v>52</v>
      </c>
      <c r="C116" s="766">
        <v>54</v>
      </c>
      <c r="D116" s="659">
        <v>19</v>
      </c>
      <c r="E116" s="660">
        <v>0.84352996448020579</v>
      </c>
      <c r="F116" s="661">
        <v>6.9000000000000006E-2</v>
      </c>
      <c r="G116" s="688">
        <v>2</v>
      </c>
      <c r="H116" s="668">
        <f t="shared" si="178"/>
        <v>0.76499950812497963</v>
      </c>
      <c r="I116" s="651">
        <v>0.5</v>
      </c>
      <c r="J116" s="651">
        <f t="shared" si="179"/>
        <v>1</v>
      </c>
      <c r="K116" s="651">
        <f t="shared" si="180"/>
        <v>1</v>
      </c>
      <c r="L116" s="651">
        <f t="shared" si="181"/>
        <v>2</v>
      </c>
      <c r="M116" s="651" t="str">
        <f t="shared" si="182"/>
        <v>Yes</v>
      </c>
      <c r="N116" s="669">
        <f t="shared" si="147"/>
        <v>0</v>
      </c>
      <c r="O116" s="668">
        <f t="shared" si="183"/>
        <v>0.80632188009581918</v>
      </c>
      <c r="P116" s="651">
        <f t="shared" si="174"/>
        <v>0.3</v>
      </c>
      <c r="Q116" s="651">
        <f t="shared" si="184"/>
        <v>1</v>
      </c>
      <c r="R116" s="651">
        <f t="shared" si="185"/>
        <v>1</v>
      </c>
      <c r="S116" s="651">
        <f t="shared" si="186"/>
        <v>2</v>
      </c>
      <c r="T116" s="651" t="str">
        <f t="shared" si="187"/>
        <v>Yes</v>
      </c>
      <c r="U116" s="669">
        <f t="shared" si="143"/>
        <v>0</v>
      </c>
      <c r="V116" s="668">
        <f t="shared" si="188"/>
        <v>0.83250517243956745</v>
      </c>
      <c r="W116" s="651">
        <f t="shared" si="175"/>
        <v>0.2</v>
      </c>
      <c r="X116" s="651">
        <f t="shared" si="189"/>
        <v>1</v>
      </c>
      <c r="Y116" s="651">
        <f t="shared" si="190"/>
        <v>1</v>
      </c>
      <c r="Z116" s="651">
        <f t="shared" si="191"/>
        <v>2</v>
      </c>
      <c r="AA116" s="650" t="str">
        <f t="shared" si="192"/>
        <v>Yes</v>
      </c>
      <c r="AB116" s="669">
        <f t="shared" si="144"/>
        <v>1</v>
      </c>
      <c r="AC116" s="668">
        <f t="shared" si="193"/>
        <v>0.85245516752081729</v>
      </c>
      <c r="AD116" s="651">
        <f t="shared" si="176"/>
        <v>0.1</v>
      </c>
      <c r="AE116" s="651">
        <f t="shared" si="194"/>
        <v>0</v>
      </c>
      <c r="AF116" s="651">
        <f t="shared" si="195"/>
        <v>1</v>
      </c>
      <c r="AG116" s="651">
        <f t="shared" si="196"/>
        <v>1</v>
      </c>
      <c r="AH116" s="651" t="str">
        <f t="shared" si="197"/>
        <v>No</v>
      </c>
      <c r="AI116" s="669">
        <f t="shared" si="145"/>
        <v>0</v>
      </c>
      <c r="AJ116" s="674">
        <f t="shared" si="198"/>
        <v>0.87601067935414889</v>
      </c>
      <c r="AK116" s="654">
        <f t="shared" si="199"/>
        <v>6.1666666666666703E-2</v>
      </c>
      <c r="AL116" s="654">
        <f t="shared" si="200"/>
        <v>0</v>
      </c>
      <c r="AM116" s="654">
        <f t="shared" si="201"/>
        <v>0</v>
      </c>
      <c r="AN116" s="654">
        <f t="shared" si="202"/>
        <v>0</v>
      </c>
      <c r="AO116" s="654" t="str">
        <f t="shared" si="203"/>
        <v>No</v>
      </c>
      <c r="AP116" s="655">
        <f t="shared" si="146"/>
        <v>0</v>
      </c>
    </row>
    <row r="117" spans="1:42" ht="15">
      <c r="A117" s="777" t="s">
        <v>181</v>
      </c>
      <c r="B117" s="643">
        <v>52</v>
      </c>
      <c r="C117" s="766">
        <v>55</v>
      </c>
      <c r="D117" s="659">
        <v>15.600000000000001</v>
      </c>
      <c r="E117" s="660">
        <v>0.81174103307167766</v>
      </c>
      <c r="F117" s="661">
        <v>0.105</v>
      </c>
      <c r="G117" s="688">
        <v>2</v>
      </c>
      <c r="H117" s="668">
        <f t="shared" si="178"/>
        <v>0.74725438228299423</v>
      </c>
      <c r="I117" s="651">
        <v>0.5</v>
      </c>
      <c r="J117" s="651">
        <f t="shared" si="179"/>
        <v>1</v>
      </c>
      <c r="K117" s="651">
        <f t="shared" si="180"/>
        <v>1</v>
      </c>
      <c r="L117" s="651">
        <f t="shared" si="181"/>
        <v>2</v>
      </c>
      <c r="M117" s="651" t="str">
        <f t="shared" si="182"/>
        <v>Yes</v>
      </c>
      <c r="N117" s="669">
        <f t="shared" si="147"/>
        <v>0</v>
      </c>
      <c r="O117" s="668">
        <f t="shared" si="183"/>
        <v>0.79397915923239382</v>
      </c>
      <c r="P117" s="651">
        <f t="shared" si="174"/>
        <v>0.3</v>
      </c>
      <c r="Q117" s="651">
        <f t="shared" si="184"/>
        <v>1</v>
      </c>
      <c r="R117" s="651">
        <f t="shared" si="185"/>
        <v>1</v>
      </c>
      <c r="S117" s="651">
        <f t="shared" si="186"/>
        <v>2</v>
      </c>
      <c r="T117" s="651" t="str">
        <f t="shared" si="187"/>
        <v>Yes</v>
      </c>
      <c r="U117" s="669">
        <f t="shared" si="143"/>
        <v>1</v>
      </c>
      <c r="V117" s="668">
        <f t="shared" si="188"/>
        <v>0.82242369108930991</v>
      </c>
      <c r="W117" s="651">
        <f t="shared" si="175"/>
        <v>0.2</v>
      </c>
      <c r="X117" s="651">
        <f t="shared" si="189"/>
        <v>0</v>
      </c>
      <c r="Y117" s="651">
        <f t="shared" si="190"/>
        <v>1</v>
      </c>
      <c r="Z117" s="651">
        <f t="shared" si="191"/>
        <v>1</v>
      </c>
      <c r="AA117" s="650" t="str">
        <f t="shared" si="192"/>
        <v>No</v>
      </c>
      <c r="AB117" s="669">
        <f t="shared" si="144"/>
        <v>0</v>
      </c>
      <c r="AC117" s="668">
        <f t="shared" si="193"/>
        <v>0.84321623491213993</v>
      </c>
      <c r="AD117" s="651">
        <f t="shared" si="176"/>
        <v>0.1</v>
      </c>
      <c r="AE117" s="651">
        <f t="shared" si="194"/>
        <v>0</v>
      </c>
      <c r="AF117" s="651">
        <f t="shared" si="195"/>
        <v>0</v>
      </c>
      <c r="AG117" s="651">
        <f t="shared" si="196"/>
        <v>0</v>
      </c>
      <c r="AH117" s="651" t="str">
        <f t="shared" si="197"/>
        <v>No</v>
      </c>
      <c r="AI117" s="669">
        <f t="shared" si="145"/>
        <v>0</v>
      </c>
      <c r="AJ117" s="674">
        <f t="shared" si="198"/>
        <v>0.86519440222618393</v>
      </c>
      <c r="AK117" s="654">
        <f t="shared" si="199"/>
        <v>6.1666666666666703E-2</v>
      </c>
      <c r="AL117" s="654">
        <f t="shared" si="200"/>
        <v>0</v>
      </c>
      <c r="AM117" s="654">
        <f t="shared" si="201"/>
        <v>0</v>
      </c>
      <c r="AN117" s="654">
        <f t="shared" si="202"/>
        <v>0</v>
      </c>
      <c r="AO117" s="654" t="str">
        <f t="shared" si="203"/>
        <v>No</v>
      </c>
      <c r="AP117" s="655">
        <f t="shared" si="146"/>
        <v>0</v>
      </c>
    </row>
    <row r="118" spans="1:42" ht="15">
      <c r="A118" s="777" t="s">
        <v>181</v>
      </c>
      <c r="B118" s="643">
        <v>52</v>
      </c>
      <c r="C118" s="766">
        <v>67</v>
      </c>
      <c r="D118" s="659">
        <v>16.2</v>
      </c>
      <c r="E118" s="660">
        <v>0.78448490686202033</v>
      </c>
      <c r="F118" s="661">
        <v>0.29499999999999998</v>
      </c>
      <c r="G118" s="688">
        <v>2</v>
      </c>
      <c r="H118" s="668">
        <f t="shared" si="178"/>
        <v>0.75065101180145044</v>
      </c>
      <c r="I118" s="651">
        <v>0.5</v>
      </c>
      <c r="J118" s="651">
        <f t="shared" si="179"/>
        <v>1</v>
      </c>
      <c r="K118" s="651">
        <f t="shared" si="180"/>
        <v>1</v>
      </c>
      <c r="L118" s="651">
        <f t="shared" si="181"/>
        <v>2</v>
      </c>
      <c r="M118" s="651" t="str">
        <f t="shared" si="182"/>
        <v>Yes</v>
      </c>
      <c r="N118" s="669">
        <f t="shared" si="147"/>
        <v>1</v>
      </c>
      <c r="O118" s="668">
        <f t="shared" si="183"/>
        <v>0.79634170376411995</v>
      </c>
      <c r="P118" s="651">
        <f t="shared" si="174"/>
        <v>0.3</v>
      </c>
      <c r="Q118" s="651">
        <f t="shared" si="184"/>
        <v>0</v>
      </c>
      <c r="R118" s="651">
        <f t="shared" si="185"/>
        <v>1</v>
      </c>
      <c r="S118" s="651">
        <f t="shared" si="186"/>
        <v>1</v>
      </c>
      <c r="T118" s="651" t="str">
        <f t="shared" si="187"/>
        <v>No</v>
      </c>
      <c r="U118" s="669">
        <f t="shared" si="143"/>
        <v>0</v>
      </c>
      <c r="V118" s="668">
        <f t="shared" si="188"/>
        <v>0.82440928808090752</v>
      </c>
      <c r="W118" s="651">
        <f t="shared" si="175"/>
        <v>0.2</v>
      </c>
      <c r="X118" s="651">
        <f t="shared" si="189"/>
        <v>0</v>
      </c>
      <c r="Y118" s="651">
        <f t="shared" si="190"/>
        <v>0</v>
      </c>
      <c r="Z118" s="651">
        <f t="shared" si="191"/>
        <v>0</v>
      </c>
      <c r="AA118" s="650" t="str">
        <f t="shared" si="192"/>
        <v>No</v>
      </c>
      <c r="AB118" s="669">
        <f t="shared" si="144"/>
        <v>0</v>
      </c>
      <c r="AC118" s="668">
        <f t="shared" si="193"/>
        <v>0.84505579819892196</v>
      </c>
      <c r="AD118" s="651">
        <f t="shared" si="176"/>
        <v>0.1</v>
      </c>
      <c r="AE118" s="651">
        <f t="shared" si="194"/>
        <v>0</v>
      </c>
      <c r="AF118" s="651">
        <f t="shared" si="195"/>
        <v>0</v>
      </c>
      <c r="AG118" s="651">
        <f t="shared" si="196"/>
        <v>0</v>
      </c>
      <c r="AH118" s="651" t="str">
        <f t="shared" si="197"/>
        <v>No</v>
      </c>
      <c r="AI118" s="669">
        <f t="shared" si="145"/>
        <v>0</v>
      </c>
      <c r="AJ118" s="674">
        <f t="shared" si="198"/>
        <v>0.86733588813682871</v>
      </c>
      <c r="AK118" s="654">
        <f t="shared" si="199"/>
        <v>6.1666666666666703E-2</v>
      </c>
      <c r="AL118" s="654">
        <f t="shared" si="200"/>
        <v>0</v>
      </c>
      <c r="AM118" s="654">
        <f t="shared" si="201"/>
        <v>0</v>
      </c>
      <c r="AN118" s="654">
        <f t="shared" si="202"/>
        <v>0</v>
      </c>
      <c r="AO118" s="654" t="str">
        <f t="shared" si="203"/>
        <v>No</v>
      </c>
      <c r="AP118" s="655">
        <f t="shared" si="146"/>
        <v>0</v>
      </c>
    </row>
    <row r="119" spans="1:42" ht="15">
      <c r="A119" s="778" t="s">
        <v>181</v>
      </c>
      <c r="B119" s="644">
        <v>52</v>
      </c>
      <c r="C119" s="767">
        <v>68</v>
      </c>
      <c r="D119" s="665">
        <v>13.5</v>
      </c>
      <c r="E119" s="687">
        <v>0.81338650345325991</v>
      </c>
      <c r="F119" s="667">
        <v>0.42299999999999999</v>
      </c>
      <c r="G119" s="720">
        <v>2</v>
      </c>
      <c r="H119" s="672">
        <f t="shared" si="178"/>
        <v>0.73424207168999456</v>
      </c>
      <c r="I119" s="653">
        <v>0.5</v>
      </c>
      <c r="J119" s="653">
        <f t="shared" si="179"/>
        <v>1</v>
      </c>
      <c r="K119" s="653">
        <f t="shared" si="180"/>
        <v>1</v>
      </c>
      <c r="L119" s="653">
        <f t="shared" si="181"/>
        <v>2</v>
      </c>
      <c r="M119" s="653" t="str">
        <f t="shared" si="182"/>
        <v>Yes</v>
      </c>
      <c r="N119" s="673">
        <f t="shared" si="147"/>
        <v>1</v>
      </c>
      <c r="O119" s="672">
        <f t="shared" si="183"/>
        <v>0.78492837430881846</v>
      </c>
      <c r="P119" s="653">
        <f t="shared" si="174"/>
        <v>0.3</v>
      </c>
      <c r="Q119" s="653">
        <f t="shared" si="184"/>
        <v>1</v>
      </c>
      <c r="R119" s="653">
        <f t="shared" si="185"/>
        <v>0</v>
      </c>
      <c r="S119" s="653">
        <f t="shared" si="186"/>
        <v>1</v>
      </c>
      <c r="T119" s="653" t="str">
        <f t="shared" si="187"/>
        <v>No</v>
      </c>
      <c r="U119" s="673">
        <f t="shared" si="143"/>
        <v>0</v>
      </c>
      <c r="V119" s="672">
        <f t="shared" si="188"/>
        <v>0.81459854694965128</v>
      </c>
      <c r="W119" s="653">
        <f t="shared" si="175"/>
        <v>0.2</v>
      </c>
      <c r="X119" s="653">
        <f t="shared" si="189"/>
        <v>0</v>
      </c>
      <c r="Y119" s="653">
        <f t="shared" si="190"/>
        <v>0</v>
      </c>
      <c r="Z119" s="653">
        <f t="shared" si="191"/>
        <v>0</v>
      </c>
      <c r="AA119" s="652" t="str">
        <f t="shared" si="192"/>
        <v>No</v>
      </c>
      <c r="AB119" s="673">
        <f t="shared" si="144"/>
        <v>0</v>
      </c>
      <c r="AC119" s="672">
        <f t="shared" si="193"/>
        <v>0.83589096766655124</v>
      </c>
      <c r="AD119" s="653">
        <f t="shared" si="176"/>
        <v>0.1</v>
      </c>
      <c r="AE119" s="653">
        <f t="shared" si="194"/>
        <v>0</v>
      </c>
      <c r="AF119" s="653">
        <f t="shared" si="195"/>
        <v>0</v>
      </c>
      <c r="AG119" s="653">
        <f t="shared" si="196"/>
        <v>0</v>
      </c>
      <c r="AH119" s="653" t="str">
        <f t="shared" si="197"/>
        <v>No</v>
      </c>
      <c r="AI119" s="673">
        <f t="shared" si="145"/>
        <v>0</v>
      </c>
      <c r="AJ119" s="677">
        <f t="shared" si="198"/>
        <v>0.85671248515010634</v>
      </c>
      <c r="AK119" s="657">
        <f t="shared" si="199"/>
        <v>6.1666666666666703E-2</v>
      </c>
      <c r="AL119" s="657">
        <f t="shared" si="200"/>
        <v>0</v>
      </c>
      <c r="AM119" s="657">
        <f t="shared" si="201"/>
        <v>0</v>
      </c>
      <c r="AN119" s="657">
        <f t="shared" si="202"/>
        <v>0</v>
      </c>
      <c r="AO119" s="657" t="str">
        <f t="shared" si="203"/>
        <v>No</v>
      </c>
      <c r="AP119" s="658">
        <f t="shared" si="146"/>
        <v>0</v>
      </c>
    </row>
    <row r="120" spans="1:42">
      <c r="A120" s="779"/>
      <c r="B120" s="146"/>
      <c r="C120" s="155"/>
    </row>
    <row r="121" spans="1:42" ht="13.5" thickBot="1">
      <c r="V121" s="9"/>
    </row>
    <row r="122" spans="1:42" ht="13.5" thickBot="1">
      <c r="E122" s="722" t="s">
        <v>1146</v>
      </c>
      <c r="F122" s="723"/>
      <c r="G122" s="723"/>
      <c r="H122" s="726"/>
      <c r="I122" s="706"/>
      <c r="J122" s="724"/>
      <c r="K122" s="722" t="s">
        <v>1164</v>
      </c>
      <c r="L122" s="723"/>
      <c r="M122" s="723"/>
      <c r="N122" s="726"/>
      <c r="O122" s="706"/>
      <c r="P122" s="724"/>
      <c r="Q122" s="722" t="s">
        <v>1165</v>
      </c>
      <c r="R122" s="723"/>
      <c r="S122" s="723"/>
      <c r="T122" s="726"/>
      <c r="U122" s="707"/>
      <c r="V122" s="8"/>
      <c r="W122" s="8"/>
    </row>
    <row r="123" spans="1:42" ht="13.5" thickBot="1">
      <c r="A123" s="780" t="s">
        <v>1143</v>
      </c>
      <c r="B123" s="706" t="s">
        <v>1144</v>
      </c>
      <c r="C123" s="706" t="s">
        <v>1145</v>
      </c>
      <c r="D123" s="725" t="s">
        <v>1010</v>
      </c>
      <c r="E123" s="705" t="s">
        <v>1011</v>
      </c>
      <c r="F123" s="706" t="s">
        <v>1012</v>
      </c>
      <c r="G123" s="706" t="s">
        <v>1013</v>
      </c>
      <c r="H123" s="721" t="s">
        <v>1014</v>
      </c>
      <c r="I123" s="706" t="s">
        <v>1015</v>
      </c>
      <c r="J123" s="727" t="s">
        <v>1016</v>
      </c>
      <c r="K123" s="705" t="s">
        <v>1011</v>
      </c>
      <c r="L123" s="706" t="s">
        <v>1012</v>
      </c>
      <c r="M123" s="706" t="s">
        <v>1013</v>
      </c>
      <c r="N123" s="721" t="s">
        <v>1014</v>
      </c>
      <c r="O123" s="706" t="s">
        <v>1015</v>
      </c>
      <c r="P123" s="727" t="s">
        <v>1016</v>
      </c>
      <c r="Q123" s="705" t="s">
        <v>1011</v>
      </c>
      <c r="R123" s="706" t="s">
        <v>1012</v>
      </c>
      <c r="S123" s="706" t="s">
        <v>1013</v>
      </c>
      <c r="T123" s="721" t="s">
        <v>1014</v>
      </c>
      <c r="U123" s="707" t="s">
        <v>1015</v>
      </c>
      <c r="V123" s="10"/>
      <c r="W123" s="8"/>
    </row>
    <row r="124" spans="1:42">
      <c r="A124" s="781" t="s">
        <v>1147</v>
      </c>
      <c r="B124" s="723" t="s">
        <v>607</v>
      </c>
      <c r="C124" s="724"/>
      <c r="D124" s="735">
        <f>COUNT(Rep_num)</f>
        <v>116</v>
      </c>
      <c r="E124" s="730">
        <f>SUM(Check0)</f>
        <v>53</v>
      </c>
      <c r="F124" s="730">
        <f>SUM(Check1)</f>
        <v>26</v>
      </c>
      <c r="G124" s="730">
        <f>SUM(Check2)</f>
        <v>15</v>
      </c>
      <c r="H124" s="730">
        <f>SUM(Check3)</f>
        <v>4</v>
      </c>
      <c r="I124" s="730">
        <f>SUM(Check4)</f>
        <v>1</v>
      </c>
      <c r="J124" s="736">
        <f>D124-SUM(E124:I124)</f>
        <v>17</v>
      </c>
      <c r="K124" s="747">
        <f>E124/$D124</f>
        <v>0.45689655172413796</v>
      </c>
      <c r="L124" s="747">
        <f t="shared" ref="L124:P124" si="204">F124/$D124</f>
        <v>0.22413793103448276</v>
      </c>
      <c r="M124" s="747">
        <f t="shared" si="204"/>
        <v>0.12931034482758622</v>
      </c>
      <c r="N124" s="747">
        <f t="shared" si="204"/>
        <v>3.4482758620689655E-2</v>
      </c>
      <c r="O124" s="747">
        <f t="shared" si="204"/>
        <v>8.6206896551724137E-3</v>
      </c>
      <c r="P124" s="748">
        <f t="shared" si="204"/>
        <v>0.14655172413793102</v>
      </c>
      <c r="Q124" s="747">
        <f>(K124+P124)/2</f>
        <v>0.30172413793103448</v>
      </c>
      <c r="R124" s="747">
        <f>L124+((K124+P124)/2)</f>
        <v>0.52586206896551724</v>
      </c>
      <c r="S124" s="749">
        <f>M124</f>
        <v>0.12931034482758622</v>
      </c>
      <c r="T124" s="749">
        <f>N124+O124</f>
        <v>4.3103448275862072E-2</v>
      </c>
      <c r="U124" s="750">
        <f>0</f>
        <v>0</v>
      </c>
      <c r="V124" s="728"/>
    </row>
    <row r="125" spans="1:42">
      <c r="A125" s="782" t="s">
        <v>1148</v>
      </c>
      <c r="B125" s="8">
        <v>1</v>
      </c>
      <c r="C125" s="729"/>
      <c r="D125" s="732">
        <f>COUNTIF(Rep_num,B125)</f>
        <v>50</v>
      </c>
      <c r="E125" s="8">
        <f>SUMIFS(Check0,Rep_num,$B125)</f>
        <v>34</v>
      </c>
      <c r="F125" s="8">
        <f>SUMIFS(Check1,Rep_num,$B125)</f>
        <v>5</v>
      </c>
      <c r="G125" s="8">
        <f>SUMIFS(Check2,Rep_num,$B125)</f>
        <v>2</v>
      </c>
      <c r="H125" s="8">
        <f>SUMIFS(Check3,Rep_num,$B125)</f>
        <v>2</v>
      </c>
      <c r="I125" s="8">
        <f>SUMIFS(Check4,Rep_num,$B125)</f>
        <v>1</v>
      </c>
      <c r="J125" s="737">
        <f>D125-SUM(E125:I125)</f>
        <v>6</v>
      </c>
      <c r="K125" s="751">
        <f t="shared" ref="K125:K153" si="205">E125/$D125</f>
        <v>0.68</v>
      </c>
      <c r="L125" s="751">
        <f t="shared" ref="L125:L153" si="206">F125/$D125</f>
        <v>0.1</v>
      </c>
      <c r="M125" s="751">
        <f t="shared" ref="M125:M153" si="207">G125/$D125</f>
        <v>0.04</v>
      </c>
      <c r="N125" s="751">
        <f t="shared" ref="N125:N153" si="208">H125/$D125</f>
        <v>0.04</v>
      </c>
      <c r="O125" s="751">
        <f t="shared" ref="O125:O153" si="209">I125/$D125</f>
        <v>0.02</v>
      </c>
      <c r="P125" s="752">
        <f t="shared" ref="P125:P153" si="210">J125/$D125</f>
        <v>0.12</v>
      </c>
      <c r="Q125" s="751">
        <f t="shared" ref="Q125:Q153" si="211">(K125+P125)/2</f>
        <v>0.4</v>
      </c>
      <c r="R125" s="751">
        <f t="shared" ref="R125:R153" si="212">L125+((K125+P125)/2)</f>
        <v>0.5</v>
      </c>
      <c r="S125" s="72">
        <f t="shared" ref="S125:S153" si="213">M125</f>
        <v>0.04</v>
      </c>
      <c r="T125" s="72">
        <f t="shared" ref="T125:T153" si="214">N125+O125</f>
        <v>0.06</v>
      </c>
      <c r="U125" s="753">
        <f>0</f>
        <v>0</v>
      </c>
      <c r="V125" s="728"/>
    </row>
    <row r="126" spans="1:42">
      <c r="A126" s="782" t="s">
        <v>1149</v>
      </c>
      <c r="B126" s="8">
        <v>2</v>
      </c>
      <c r="C126" s="729"/>
      <c r="D126" s="732">
        <f>COUNTIF(Rep_num,B126)</f>
        <v>26</v>
      </c>
      <c r="E126" s="8">
        <f>SUMIFS(Check0,Rep_num,$B126)</f>
        <v>9</v>
      </c>
      <c r="F126" s="8">
        <f>SUMIFS(Check1,Rep_num,$B126)</f>
        <v>9</v>
      </c>
      <c r="G126" s="8">
        <f>SUMIFS(Check2,Rep_num,$B126)</f>
        <v>5</v>
      </c>
      <c r="H126" s="8">
        <f>SUMIFS(Check3,Rep_num,$B126)</f>
        <v>1</v>
      </c>
      <c r="I126" s="8">
        <f>SUMIFS(Check4,Rep_num,$B126)</f>
        <v>0</v>
      </c>
      <c r="J126" s="737">
        <f t="shared" ref="J126:J133" si="215">D126-SUM(E126:I126)</f>
        <v>2</v>
      </c>
      <c r="K126" s="751">
        <f t="shared" si="205"/>
        <v>0.34615384615384615</v>
      </c>
      <c r="L126" s="751">
        <f t="shared" si="206"/>
        <v>0.34615384615384615</v>
      </c>
      <c r="M126" s="751">
        <f t="shared" si="207"/>
        <v>0.19230769230769232</v>
      </c>
      <c r="N126" s="751">
        <f t="shared" si="208"/>
        <v>3.8461538461538464E-2</v>
      </c>
      <c r="O126" s="751">
        <f t="shared" si="209"/>
        <v>0</v>
      </c>
      <c r="P126" s="752">
        <f t="shared" si="210"/>
        <v>7.6923076923076927E-2</v>
      </c>
      <c r="Q126" s="751">
        <f t="shared" si="211"/>
        <v>0.21153846153846154</v>
      </c>
      <c r="R126" s="751">
        <f t="shared" si="212"/>
        <v>0.55769230769230771</v>
      </c>
      <c r="S126" s="72">
        <f t="shared" si="213"/>
        <v>0.19230769230769232</v>
      </c>
      <c r="T126" s="72">
        <f t="shared" si="214"/>
        <v>3.8461538461538464E-2</v>
      </c>
      <c r="U126" s="753">
        <f>0</f>
        <v>0</v>
      </c>
      <c r="V126" s="728"/>
    </row>
    <row r="127" spans="1:42">
      <c r="A127" s="782" t="s">
        <v>1150</v>
      </c>
      <c r="B127" s="8">
        <v>3</v>
      </c>
      <c r="C127" s="729"/>
      <c r="D127" s="732">
        <f>COUNTIF(Rep_num,B127)</f>
        <v>26</v>
      </c>
      <c r="E127" s="8">
        <f>SUMIFS(Check0,Rep_num,$B127)</f>
        <v>5</v>
      </c>
      <c r="F127" s="8">
        <f>SUMIFS(Check1,Rep_num,$B127)</f>
        <v>8</v>
      </c>
      <c r="G127" s="8">
        <f>SUMIFS(Check2,Rep_num,$B127)</f>
        <v>7</v>
      </c>
      <c r="H127" s="8">
        <f>SUMIFS(Check3,Rep_num,$B127)</f>
        <v>0</v>
      </c>
      <c r="I127" s="8">
        <f>SUMIFS(Check4,Rep_num,$B127)</f>
        <v>0</v>
      </c>
      <c r="J127" s="737">
        <f t="shared" si="215"/>
        <v>6</v>
      </c>
      <c r="K127" s="751">
        <f t="shared" si="205"/>
        <v>0.19230769230769232</v>
      </c>
      <c r="L127" s="751">
        <f t="shared" si="206"/>
        <v>0.30769230769230771</v>
      </c>
      <c r="M127" s="751">
        <f t="shared" si="207"/>
        <v>0.26923076923076922</v>
      </c>
      <c r="N127" s="751">
        <f t="shared" si="208"/>
        <v>0</v>
      </c>
      <c r="O127" s="751">
        <f t="shared" si="209"/>
        <v>0</v>
      </c>
      <c r="P127" s="752">
        <f t="shared" si="210"/>
        <v>0.23076923076923078</v>
      </c>
      <c r="Q127" s="751">
        <f t="shared" si="211"/>
        <v>0.21153846153846156</v>
      </c>
      <c r="R127" s="751">
        <f t="shared" si="212"/>
        <v>0.51923076923076927</v>
      </c>
      <c r="S127" s="72">
        <f t="shared" si="213"/>
        <v>0.26923076923076922</v>
      </c>
      <c r="T127" s="72">
        <f t="shared" si="214"/>
        <v>0</v>
      </c>
      <c r="U127" s="753">
        <f>0</f>
        <v>0</v>
      </c>
      <c r="V127" s="728"/>
    </row>
    <row r="128" spans="1:42">
      <c r="A128" s="783" t="s">
        <v>1151</v>
      </c>
      <c r="B128" s="666">
        <v>4</v>
      </c>
      <c r="C128" s="740"/>
      <c r="D128" s="739">
        <f>COUNTIF(Rep_num,B128)</f>
        <v>14</v>
      </c>
      <c r="E128" s="666">
        <f>SUMIFS(Check0,Rep_num,$B128)</f>
        <v>5</v>
      </c>
      <c r="F128" s="666">
        <f>SUMIFS(Check1,Rep_num,$B128)</f>
        <v>4</v>
      </c>
      <c r="G128" s="666">
        <f>SUMIFS(Check2,Rep_num,$B128)</f>
        <v>1</v>
      </c>
      <c r="H128" s="666">
        <f>SUMIFS(Check3,Rep_num,$B128)</f>
        <v>1</v>
      </c>
      <c r="I128" s="666">
        <f>SUMIFS(Check4,Rep_num,$B128)</f>
        <v>0</v>
      </c>
      <c r="J128" s="741">
        <f t="shared" si="215"/>
        <v>3</v>
      </c>
      <c r="K128" s="754">
        <f t="shared" si="205"/>
        <v>0.35714285714285715</v>
      </c>
      <c r="L128" s="754">
        <f t="shared" si="206"/>
        <v>0.2857142857142857</v>
      </c>
      <c r="M128" s="754">
        <f t="shared" si="207"/>
        <v>7.1428571428571425E-2</v>
      </c>
      <c r="N128" s="754">
        <f t="shared" si="208"/>
        <v>7.1428571428571425E-2</v>
      </c>
      <c r="O128" s="754">
        <f t="shared" si="209"/>
        <v>0</v>
      </c>
      <c r="P128" s="755">
        <f t="shared" si="210"/>
        <v>0.21428571428571427</v>
      </c>
      <c r="Q128" s="754">
        <f t="shared" si="211"/>
        <v>0.2857142857142857</v>
      </c>
      <c r="R128" s="754">
        <f t="shared" si="212"/>
        <v>0.5714285714285714</v>
      </c>
      <c r="S128" s="756">
        <f t="shared" si="213"/>
        <v>7.1428571428571425E-2</v>
      </c>
      <c r="T128" s="756">
        <f t="shared" si="214"/>
        <v>7.1428571428571425E-2</v>
      </c>
      <c r="U128" s="757">
        <f>0</f>
        <v>0</v>
      </c>
      <c r="V128" s="728"/>
    </row>
    <row r="129" spans="1:22">
      <c r="A129" s="784" t="s">
        <v>1167</v>
      </c>
      <c r="B129" s="291" t="s">
        <v>607</v>
      </c>
      <c r="C129" s="768"/>
      <c r="D129" s="769">
        <f>D125+D126</f>
        <v>76</v>
      </c>
      <c r="E129" s="9">
        <f t="shared" ref="E129:J129" si="216">E125+E126</f>
        <v>43</v>
      </c>
      <c r="F129" s="9">
        <f t="shared" si="216"/>
        <v>14</v>
      </c>
      <c r="G129" s="9">
        <f t="shared" si="216"/>
        <v>7</v>
      </c>
      <c r="H129" s="9">
        <f t="shared" si="216"/>
        <v>3</v>
      </c>
      <c r="I129" s="9">
        <f t="shared" si="216"/>
        <v>1</v>
      </c>
      <c r="J129" s="770">
        <f t="shared" si="216"/>
        <v>8</v>
      </c>
      <c r="K129" s="771">
        <f t="shared" ref="K129" si="217">E129/$D129</f>
        <v>0.56578947368421051</v>
      </c>
      <c r="L129" s="771">
        <f t="shared" ref="L129" si="218">F129/$D129</f>
        <v>0.18421052631578946</v>
      </c>
      <c r="M129" s="771">
        <f t="shared" ref="M129" si="219">G129/$D129</f>
        <v>9.2105263157894732E-2</v>
      </c>
      <c r="N129" s="771">
        <f t="shared" ref="N129" si="220">H129/$D129</f>
        <v>3.9473684210526314E-2</v>
      </c>
      <c r="O129" s="771">
        <f t="shared" ref="O129" si="221">I129/$D129</f>
        <v>1.3157894736842105E-2</v>
      </c>
      <c r="P129" s="772">
        <f t="shared" ref="P129" si="222">J129/$D129</f>
        <v>0.10526315789473684</v>
      </c>
      <c r="Q129" s="771">
        <f t="shared" ref="Q129" si="223">(K129+P129)/2</f>
        <v>0.33552631578947367</v>
      </c>
      <c r="R129" s="771">
        <f t="shared" ref="R129" si="224">L129+((K129+P129)/2)</f>
        <v>0.51973684210526316</v>
      </c>
      <c r="S129" s="182">
        <f t="shared" ref="S129" si="225">M129</f>
        <v>9.2105263157894732E-2</v>
      </c>
      <c r="T129" s="182">
        <f t="shared" ref="T129" si="226">N129+O129</f>
        <v>5.2631578947368418E-2</v>
      </c>
      <c r="U129" s="773">
        <f>0</f>
        <v>0</v>
      </c>
      <c r="V129" s="728"/>
    </row>
    <row r="130" spans="1:22">
      <c r="A130" s="785" t="s">
        <v>1168</v>
      </c>
      <c r="B130" s="410" t="s">
        <v>607</v>
      </c>
      <c r="C130" s="729"/>
      <c r="D130" s="732">
        <f>D126+D127</f>
        <v>52</v>
      </c>
      <c r="E130" s="8">
        <f t="shared" ref="E130:J130" si="227">E126+E127</f>
        <v>14</v>
      </c>
      <c r="F130" s="8">
        <f t="shared" si="227"/>
        <v>17</v>
      </c>
      <c r="G130" s="8">
        <f t="shared" si="227"/>
        <v>12</v>
      </c>
      <c r="H130" s="8">
        <f t="shared" si="227"/>
        <v>1</v>
      </c>
      <c r="I130" s="8">
        <f t="shared" si="227"/>
        <v>0</v>
      </c>
      <c r="J130" s="737">
        <f t="shared" si="227"/>
        <v>8</v>
      </c>
      <c r="K130" s="751">
        <f t="shared" ref="K130:K131" si="228">E130/$D130</f>
        <v>0.26923076923076922</v>
      </c>
      <c r="L130" s="751">
        <f t="shared" ref="L130:L131" si="229">F130/$D130</f>
        <v>0.32692307692307693</v>
      </c>
      <c r="M130" s="751">
        <f t="shared" ref="M130:M131" si="230">G130/$D130</f>
        <v>0.23076923076923078</v>
      </c>
      <c r="N130" s="751">
        <f t="shared" ref="N130:N131" si="231">H130/$D130</f>
        <v>1.9230769230769232E-2</v>
      </c>
      <c r="O130" s="751">
        <f t="shared" ref="O130:O131" si="232">I130/$D130</f>
        <v>0</v>
      </c>
      <c r="P130" s="752">
        <f t="shared" ref="P130:P131" si="233">J130/$D130</f>
        <v>0.15384615384615385</v>
      </c>
      <c r="Q130" s="751">
        <f t="shared" ref="Q130:Q131" si="234">(K130+P130)/2</f>
        <v>0.21153846153846154</v>
      </c>
      <c r="R130" s="751">
        <f t="shared" ref="R130:R131" si="235">L130+((K130+P130)/2)</f>
        <v>0.53846153846153844</v>
      </c>
      <c r="S130" s="72">
        <f t="shared" ref="S130:S131" si="236">M130</f>
        <v>0.23076923076923078</v>
      </c>
      <c r="T130" s="72">
        <f t="shared" ref="T130:T131" si="237">N130+O130</f>
        <v>1.9230769230769232E-2</v>
      </c>
      <c r="U130" s="691">
        <f>0</f>
        <v>0</v>
      </c>
      <c r="V130" s="728"/>
    </row>
    <row r="131" spans="1:22">
      <c r="A131" s="786" t="s">
        <v>1169</v>
      </c>
      <c r="B131" s="422" t="s">
        <v>607</v>
      </c>
      <c r="C131" s="740"/>
      <c r="D131" s="739">
        <f>D127+D128</f>
        <v>40</v>
      </c>
      <c r="E131" s="666">
        <f t="shared" ref="E131:J131" si="238">E127+E128</f>
        <v>10</v>
      </c>
      <c r="F131" s="666">
        <f t="shared" si="238"/>
        <v>12</v>
      </c>
      <c r="G131" s="666">
        <f t="shared" si="238"/>
        <v>8</v>
      </c>
      <c r="H131" s="666">
        <f t="shared" si="238"/>
        <v>1</v>
      </c>
      <c r="I131" s="666">
        <f t="shared" si="238"/>
        <v>0</v>
      </c>
      <c r="J131" s="741">
        <f t="shared" si="238"/>
        <v>9</v>
      </c>
      <c r="K131" s="754">
        <f t="shared" si="228"/>
        <v>0.25</v>
      </c>
      <c r="L131" s="754">
        <f t="shared" si="229"/>
        <v>0.3</v>
      </c>
      <c r="M131" s="754">
        <f t="shared" si="230"/>
        <v>0.2</v>
      </c>
      <c r="N131" s="754">
        <f t="shared" si="231"/>
        <v>2.5000000000000001E-2</v>
      </c>
      <c r="O131" s="754">
        <f t="shared" si="232"/>
        <v>0</v>
      </c>
      <c r="P131" s="755">
        <f t="shared" si="233"/>
        <v>0.22500000000000001</v>
      </c>
      <c r="Q131" s="754">
        <f t="shared" si="234"/>
        <v>0.23749999999999999</v>
      </c>
      <c r="R131" s="754">
        <f t="shared" si="235"/>
        <v>0.53749999999999998</v>
      </c>
      <c r="S131" s="756">
        <f t="shared" si="236"/>
        <v>0.2</v>
      </c>
      <c r="T131" s="756">
        <f t="shared" si="237"/>
        <v>2.5000000000000001E-2</v>
      </c>
      <c r="U131" s="774">
        <f>0</f>
        <v>0</v>
      </c>
      <c r="V131" s="728"/>
    </row>
    <row r="132" spans="1:22">
      <c r="A132" s="782" t="s">
        <v>105</v>
      </c>
      <c r="B132" s="742" t="s">
        <v>283</v>
      </c>
      <c r="C132" s="743" t="s">
        <v>283</v>
      </c>
      <c r="D132" s="744">
        <v>0</v>
      </c>
      <c r="E132" s="745" t="s">
        <v>283</v>
      </c>
      <c r="F132" s="745" t="s">
        <v>283</v>
      </c>
      <c r="G132" s="745" t="s">
        <v>283</v>
      </c>
      <c r="H132" s="745" t="s">
        <v>283</v>
      </c>
      <c r="I132" s="745" t="s">
        <v>283</v>
      </c>
      <c r="J132" s="746" t="s">
        <v>283</v>
      </c>
      <c r="K132" s="751">
        <v>0.5</v>
      </c>
      <c r="L132" s="751">
        <v>0.5</v>
      </c>
      <c r="M132" s="751">
        <v>0</v>
      </c>
      <c r="N132" s="751">
        <v>0</v>
      </c>
      <c r="O132" s="751">
        <v>0</v>
      </c>
      <c r="P132" s="752">
        <v>0</v>
      </c>
      <c r="Q132" s="762">
        <v>0.5</v>
      </c>
      <c r="R132" s="762">
        <v>0.5</v>
      </c>
      <c r="S132" s="763">
        <v>0</v>
      </c>
      <c r="T132" s="763">
        <v>0</v>
      </c>
      <c r="U132" s="764">
        <v>0</v>
      </c>
      <c r="V132" s="765" t="s">
        <v>1246</v>
      </c>
    </row>
    <row r="133" spans="1:22">
      <c r="A133" s="782" t="s">
        <v>99</v>
      </c>
      <c r="B133" s="8">
        <v>6</v>
      </c>
      <c r="C133" s="729"/>
      <c r="D133" s="732">
        <f>COUNTIF(App_num,B133)</f>
        <v>3</v>
      </c>
      <c r="E133" s="8">
        <f>SUMIFS(Check0,App_num,$B133)</f>
        <v>2</v>
      </c>
      <c r="F133" s="8">
        <f>SUMIFS(Check1,App_num,$B133)</f>
        <v>1</v>
      </c>
      <c r="G133" s="8">
        <f>SUMIFS(Check2,App_num,$B133)</f>
        <v>0</v>
      </c>
      <c r="H133" s="8">
        <f>SUMIFS(Check3,App_num,$B133)</f>
        <v>0</v>
      </c>
      <c r="I133" s="8">
        <f>SUMIFS(Check4,App_num,$B133)</f>
        <v>0</v>
      </c>
      <c r="J133" s="737">
        <f t="shared" si="215"/>
        <v>0</v>
      </c>
      <c r="K133" s="751">
        <f t="shared" si="205"/>
        <v>0.66666666666666663</v>
      </c>
      <c r="L133" s="751">
        <f t="shared" si="206"/>
        <v>0.33333333333333331</v>
      </c>
      <c r="M133" s="751">
        <f t="shared" si="207"/>
        <v>0</v>
      </c>
      <c r="N133" s="751">
        <f t="shared" si="208"/>
        <v>0</v>
      </c>
      <c r="O133" s="751">
        <f t="shared" si="209"/>
        <v>0</v>
      </c>
      <c r="P133" s="752">
        <f t="shared" si="210"/>
        <v>0</v>
      </c>
      <c r="Q133" s="751">
        <f t="shared" si="211"/>
        <v>0.33333333333333331</v>
      </c>
      <c r="R133" s="751">
        <f t="shared" si="212"/>
        <v>0.66666666666666663</v>
      </c>
      <c r="S133" s="72">
        <f t="shared" si="213"/>
        <v>0</v>
      </c>
      <c r="T133" s="72">
        <f t="shared" si="214"/>
        <v>0</v>
      </c>
      <c r="U133" s="753">
        <f>0</f>
        <v>0</v>
      </c>
      <c r="V133" s="728"/>
    </row>
    <row r="134" spans="1:22">
      <c r="A134" s="782" t="s">
        <v>223</v>
      </c>
      <c r="B134" s="8">
        <v>9</v>
      </c>
      <c r="C134" s="729"/>
      <c r="D134" s="732">
        <f>COUNTIF(App_num,B134)</f>
        <v>1</v>
      </c>
      <c r="E134" s="8">
        <f>SUMIFS(Check0,App_num,$B134)</f>
        <v>1</v>
      </c>
      <c r="F134" s="8">
        <f>SUMIFS(Check1,App_num,$B134)</f>
        <v>0</v>
      </c>
      <c r="G134" s="8">
        <f>SUMIFS(Check2,App_num,$B134)</f>
        <v>0</v>
      </c>
      <c r="H134" s="8">
        <f>SUMIFS(Check3,App_num,$B134)</f>
        <v>0</v>
      </c>
      <c r="I134" s="8">
        <f>SUMIFS(Check4,App_num,$B134)</f>
        <v>0</v>
      </c>
      <c r="J134" s="737">
        <f t="shared" ref="J134:J137" si="239">D134-SUM(E134:I134)</f>
        <v>0</v>
      </c>
      <c r="K134" s="751">
        <f t="shared" si="205"/>
        <v>1</v>
      </c>
      <c r="L134" s="751">
        <f t="shared" si="206"/>
        <v>0</v>
      </c>
      <c r="M134" s="751">
        <f t="shared" si="207"/>
        <v>0</v>
      </c>
      <c r="N134" s="751">
        <f t="shared" si="208"/>
        <v>0</v>
      </c>
      <c r="O134" s="751">
        <f t="shared" si="209"/>
        <v>0</v>
      </c>
      <c r="P134" s="752">
        <f t="shared" si="210"/>
        <v>0</v>
      </c>
      <c r="Q134" s="751">
        <f t="shared" si="211"/>
        <v>0.5</v>
      </c>
      <c r="R134" s="751">
        <f t="shared" si="212"/>
        <v>0.5</v>
      </c>
      <c r="S134" s="72">
        <f t="shared" si="213"/>
        <v>0</v>
      </c>
      <c r="T134" s="72">
        <f t="shared" si="214"/>
        <v>0</v>
      </c>
      <c r="U134" s="753">
        <f>0</f>
        <v>0</v>
      </c>
      <c r="V134" s="728"/>
    </row>
    <row r="135" spans="1:22">
      <c r="A135" s="782" t="s">
        <v>154</v>
      </c>
      <c r="B135" s="8">
        <v>12</v>
      </c>
      <c r="C135" s="729"/>
      <c r="D135" s="732">
        <f>COUNTIF(App_num,B135)</f>
        <v>33</v>
      </c>
      <c r="E135" s="8">
        <f>SUMIFS(Check0,App_num,$B135)</f>
        <v>9</v>
      </c>
      <c r="F135" s="8">
        <f>SUMIFS(Check1,App_num,$B135)</f>
        <v>9</v>
      </c>
      <c r="G135" s="8">
        <f>SUMIFS(Check2,App_num,$B135)</f>
        <v>6</v>
      </c>
      <c r="H135" s="8">
        <f>SUMIFS(Check3,App_num,$B135)</f>
        <v>1</v>
      </c>
      <c r="I135" s="8">
        <f>SUMIFS(Check4,App_num,$B135)</f>
        <v>0</v>
      </c>
      <c r="J135" s="737">
        <f t="shared" si="239"/>
        <v>8</v>
      </c>
      <c r="K135" s="751">
        <f t="shared" si="205"/>
        <v>0.27272727272727271</v>
      </c>
      <c r="L135" s="751">
        <f t="shared" si="206"/>
        <v>0.27272727272727271</v>
      </c>
      <c r="M135" s="751">
        <f t="shared" si="207"/>
        <v>0.18181818181818182</v>
      </c>
      <c r="N135" s="751">
        <f t="shared" si="208"/>
        <v>3.0303030303030304E-2</v>
      </c>
      <c r="O135" s="751">
        <f t="shared" si="209"/>
        <v>0</v>
      </c>
      <c r="P135" s="752">
        <f t="shared" si="210"/>
        <v>0.24242424242424243</v>
      </c>
      <c r="Q135" s="751">
        <f t="shared" si="211"/>
        <v>0.25757575757575757</v>
      </c>
      <c r="R135" s="751">
        <f t="shared" si="212"/>
        <v>0.53030303030303028</v>
      </c>
      <c r="S135" s="72">
        <f t="shared" si="213"/>
        <v>0.18181818181818182</v>
      </c>
      <c r="T135" s="72">
        <f t="shared" si="214"/>
        <v>3.0303030303030304E-2</v>
      </c>
      <c r="U135" s="753">
        <f>0</f>
        <v>0</v>
      </c>
      <c r="V135" s="728"/>
    </row>
    <row r="136" spans="1:22">
      <c r="A136" s="782" t="s">
        <v>1153</v>
      </c>
      <c r="B136" s="8">
        <v>12</v>
      </c>
      <c r="C136" s="729">
        <v>3</v>
      </c>
      <c r="D136" s="732">
        <f>COUNTIFS(App_num,B136,Rep_num,C136)</f>
        <v>19</v>
      </c>
      <c r="E136" s="8">
        <f>SUMIFS(Check0,App_num,$B136,Rep_num,$C136)</f>
        <v>4</v>
      </c>
      <c r="F136" s="8">
        <f>SUMIFS(Check1,App_num,$B136,Rep_num,$C136)</f>
        <v>5</v>
      </c>
      <c r="G136" s="8">
        <f>SUMIFS(Check2,App_num,$B136,Rep_num,$C136)</f>
        <v>5</v>
      </c>
      <c r="H136" s="8">
        <f>SUMIFS(Check3,App_num,$B136,Rep_num,$C136)</f>
        <v>0</v>
      </c>
      <c r="I136" s="8">
        <f>SUMIFS(Check4,App_num,$B136,Rep_num,$C136)</f>
        <v>0</v>
      </c>
      <c r="J136" s="737">
        <f t="shared" si="239"/>
        <v>5</v>
      </c>
      <c r="K136" s="751">
        <f t="shared" si="205"/>
        <v>0.21052631578947367</v>
      </c>
      <c r="L136" s="751">
        <f t="shared" si="206"/>
        <v>0.26315789473684209</v>
      </c>
      <c r="M136" s="751">
        <f t="shared" si="207"/>
        <v>0.26315789473684209</v>
      </c>
      <c r="N136" s="751">
        <f t="shared" si="208"/>
        <v>0</v>
      </c>
      <c r="O136" s="751">
        <f t="shared" si="209"/>
        <v>0</v>
      </c>
      <c r="P136" s="752">
        <f t="shared" si="210"/>
        <v>0.26315789473684209</v>
      </c>
      <c r="Q136" s="751">
        <f t="shared" si="211"/>
        <v>0.23684210526315788</v>
      </c>
      <c r="R136" s="751">
        <f t="shared" si="212"/>
        <v>0.5</v>
      </c>
      <c r="S136" s="72">
        <f t="shared" si="213"/>
        <v>0.26315789473684209</v>
      </c>
      <c r="T136" s="72">
        <f t="shared" si="214"/>
        <v>0</v>
      </c>
      <c r="U136" s="753">
        <f>0</f>
        <v>0</v>
      </c>
      <c r="V136" s="728"/>
    </row>
    <row r="137" spans="1:22">
      <c r="A137" s="782" t="s">
        <v>1154</v>
      </c>
      <c r="B137" s="8">
        <v>12</v>
      </c>
      <c r="C137" s="729">
        <v>4</v>
      </c>
      <c r="D137" s="732">
        <f>COUNTIFS(App_num,B137,Rep_num,C137)</f>
        <v>14</v>
      </c>
      <c r="E137" s="8">
        <f>SUMIFS(Check0,App_num,$B137,Rep_num,$C137)</f>
        <v>5</v>
      </c>
      <c r="F137" s="8">
        <f>SUMIFS(Check1,App_num,$B137,Rep_num,$C137)</f>
        <v>4</v>
      </c>
      <c r="G137" s="8">
        <f>SUMIFS(Check2,App_num,$B137,Rep_num,$C137)</f>
        <v>1</v>
      </c>
      <c r="H137" s="8">
        <f>SUMIFS(Check3,App_num,$B137,Rep_num,$C137)</f>
        <v>1</v>
      </c>
      <c r="I137" s="8">
        <f>SUMIFS(Check4,App_num,$B137,Rep_num,$C137)</f>
        <v>0</v>
      </c>
      <c r="J137" s="737">
        <f t="shared" si="239"/>
        <v>3</v>
      </c>
      <c r="K137" s="751">
        <f t="shared" si="205"/>
        <v>0.35714285714285715</v>
      </c>
      <c r="L137" s="751">
        <f t="shared" si="206"/>
        <v>0.2857142857142857</v>
      </c>
      <c r="M137" s="751">
        <f t="shared" si="207"/>
        <v>7.1428571428571425E-2</v>
      </c>
      <c r="N137" s="751">
        <f t="shared" si="208"/>
        <v>7.1428571428571425E-2</v>
      </c>
      <c r="O137" s="751">
        <f t="shared" si="209"/>
        <v>0</v>
      </c>
      <c r="P137" s="752">
        <f t="shared" si="210"/>
        <v>0.21428571428571427</v>
      </c>
      <c r="Q137" s="751">
        <f t="shared" si="211"/>
        <v>0.2857142857142857</v>
      </c>
      <c r="R137" s="751">
        <f t="shared" si="212"/>
        <v>0.5714285714285714</v>
      </c>
      <c r="S137" s="72">
        <f t="shared" si="213"/>
        <v>7.1428571428571425E-2</v>
      </c>
      <c r="T137" s="72">
        <f t="shared" si="214"/>
        <v>7.1428571428571425E-2</v>
      </c>
      <c r="U137" s="753">
        <f>0</f>
        <v>0</v>
      </c>
      <c r="V137" s="728"/>
    </row>
    <row r="138" spans="1:22">
      <c r="A138" s="782" t="s">
        <v>1152</v>
      </c>
      <c r="B138" s="8">
        <v>14</v>
      </c>
      <c r="C138" s="729"/>
      <c r="D138" s="732">
        <f>COUNTIF(App_num,B138)</f>
        <v>2</v>
      </c>
      <c r="E138" s="8">
        <f>SUMIFS(Check0,App_num,$B138)</f>
        <v>0</v>
      </c>
      <c r="F138" s="8">
        <f>SUMIFS(Check1,App_num,$B138)</f>
        <v>1</v>
      </c>
      <c r="G138" s="8">
        <f>SUMIFS(Check2,App_num,$B138)</f>
        <v>0</v>
      </c>
      <c r="H138" s="8">
        <f>SUMIFS(Check3,App_num,$B138)</f>
        <v>0</v>
      </c>
      <c r="I138" s="8">
        <f>SUMIFS(Check4,App_num,$B138)</f>
        <v>0</v>
      </c>
      <c r="J138" s="737">
        <f t="shared" ref="J138:J139" si="240">D138-SUM(E138:I138)</f>
        <v>1</v>
      </c>
      <c r="K138" s="751">
        <f t="shared" si="205"/>
        <v>0</v>
      </c>
      <c r="L138" s="751">
        <f t="shared" si="206"/>
        <v>0.5</v>
      </c>
      <c r="M138" s="751">
        <f t="shared" si="207"/>
        <v>0</v>
      </c>
      <c r="N138" s="751">
        <f t="shared" si="208"/>
        <v>0</v>
      </c>
      <c r="O138" s="751">
        <f t="shared" si="209"/>
        <v>0</v>
      </c>
      <c r="P138" s="752">
        <f t="shared" si="210"/>
        <v>0.5</v>
      </c>
      <c r="Q138" s="751">
        <f t="shared" si="211"/>
        <v>0.25</v>
      </c>
      <c r="R138" s="751">
        <f t="shared" si="212"/>
        <v>0.75</v>
      </c>
      <c r="S138" s="72">
        <f t="shared" si="213"/>
        <v>0</v>
      </c>
      <c r="T138" s="72">
        <f t="shared" si="214"/>
        <v>0</v>
      </c>
      <c r="U138" s="753">
        <f>0</f>
        <v>0</v>
      </c>
      <c r="V138" s="728"/>
    </row>
    <row r="139" spans="1:22">
      <c r="A139" s="782" t="s">
        <v>1155</v>
      </c>
      <c r="B139" s="8">
        <v>15</v>
      </c>
      <c r="C139" s="729"/>
      <c r="D139" s="732">
        <f>COUNTIF(App_num,B139)</f>
        <v>2</v>
      </c>
      <c r="E139" s="8">
        <f>SUMIFS(Check0,App_num,$B139)</f>
        <v>0</v>
      </c>
      <c r="F139" s="8">
        <f>SUMIFS(Check1,App_num,$B139)</f>
        <v>0</v>
      </c>
      <c r="G139" s="8">
        <f>SUMIFS(Check2,App_num,$B139)</f>
        <v>1</v>
      </c>
      <c r="H139" s="8">
        <f>SUMIFS(Check3,App_num,$B139)</f>
        <v>0</v>
      </c>
      <c r="I139" s="8">
        <f>SUMIFS(Check4,App_num,$B139)</f>
        <v>0</v>
      </c>
      <c r="J139" s="737">
        <f t="shared" si="240"/>
        <v>1</v>
      </c>
      <c r="K139" s="751">
        <f t="shared" si="205"/>
        <v>0</v>
      </c>
      <c r="L139" s="751">
        <f t="shared" si="206"/>
        <v>0</v>
      </c>
      <c r="M139" s="751">
        <f t="shared" si="207"/>
        <v>0.5</v>
      </c>
      <c r="N139" s="751">
        <f t="shared" si="208"/>
        <v>0</v>
      </c>
      <c r="O139" s="751">
        <f t="shared" si="209"/>
        <v>0</v>
      </c>
      <c r="P139" s="752">
        <f t="shared" si="210"/>
        <v>0.5</v>
      </c>
      <c r="Q139" s="751">
        <f t="shared" si="211"/>
        <v>0.25</v>
      </c>
      <c r="R139" s="751">
        <f t="shared" si="212"/>
        <v>0.25</v>
      </c>
      <c r="S139" s="72">
        <f t="shared" si="213"/>
        <v>0.5</v>
      </c>
      <c r="T139" s="72">
        <f t="shared" si="214"/>
        <v>0</v>
      </c>
      <c r="U139" s="753">
        <f>0</f>
        <v>0</v>
      </c>
      <c r="V139" s="728"/>
    </row>
    <row r="140" spans="1:22">
      <c r="A140" s="782" t="s">
        <v>777</v>
      </c>
      <c r="B140" s="8">
        <v>17</v>
      </c>
      <c r="C140" s="729"/>
      <c r="D140" s="732">
        <f>COUNTIF(App_num,B140)</f>
        <v>2</v>
      </c>
      <c r="E140" s="8">
        <f>SUMIFS(Check0,App_num,$B140)</f>
        <v>0</v>
      </c>
      <c r="F140" s="8">
        <f>SUMIFS(Check1,App_num,$B140)</f>
        <v>2</v>
      </c>
      <c r="G140" s="8">
        <f>SUMIFS(Check2,App_num,$B140)</f>
        <v>0</v>
      </c>
      <c r="H140" s="8">
        <f>SUMIFS(Check3,App_num,$B140)</f>
        <v>0</v>
      </c>
      <c r="I140" s="8">
        <f>SUMIFS(Check4,App_num,$B140)</f>
        <v>0</v>
      </c>
      <c r="J140" s="737">
        <f t="shared" ref="J140:J144" si="241">D140-SUM(E140:I140)</f>
        <v>0</v>
      </c>
      <c r="K140" s="751">
        <f t="shared" si="205"/>
        <v>0</v>
      </c>
      <c r="L140" s="751">
        <f t="shared" si="206"/>
        <v>1</v>
      </c>
      <c r="M140" s="751">
        <f t="shared" si="207"/>
        <v>0</v>
      </c>
      <c r="N140" s="751">
        <f t="shared" si="208"/>
        <v>0</v>
      </c>
      <c r="O140" s="751">
        <f t="shared" si="209"/>
        <v>0</v>
      </c>
      <c r="P140" s="752">
        <f t="shared" si="210"/>
        <v>0</v>
      </c>
      <c r="Q140" s="751">
        <f t="shared" si="211"/>
        <v>0</v>
      </c>
      <c r="R140" s="751">
        <f t="shared" si="212"/>
        <v>1</v>
      </c>
      <c r="S140" s="72">
        <f t="shared" si="213"/>
        <v>0</v>
      </c>
      <c r="T140" s="72">
        <f t="shared" si="214"/>
        <v>0</v>
      </c>
      <c r="U140" s="753">
        <f>0</f>
        <v>0</v>
      </c>
      <c r="V140" s="728"/>
    </row>
    <row r="141" spans="1:22">
      <c r="A141" s="782" t="s">
        <v>455</v>
      </c>
      <c r="B141" s="8">
        <v>20</v>
      </c>
      <c r="C141" s="729"/>
      <c r="D141" s="732">
        <f>COUNTIF(App_num,B141)</f>
        <v>6</v>
      </c>
      <c r="E141" s="8">
        <f>SUMIFS(Check0,App_num,$B141)</f>
        <v>1</v>
      </c>
      <c r="F141" s="8">
        <f>SUMIFS(Check1,App_num,$B141)</f>
        <v>3</v>
      </c>
      <c r="G141" s="8">
        <f>SUMIFS(Check2,App_num,$B141)</f>
        <v>2</v>
      </c>
      <c r="H141" s="8">
        <f>SUMIFS(Check3,App_num,$B141)</f>
        <v>0</v>
      </c>
      <c r="I141" s="8">
        <f>SUMIFS(Check4,App_num,$B141)</f>
        <v>0</v>
      </c>
      <c r="J141" s="737">
        <f t="shared" si="241"/>
        <v>0</v>
      </c>
      <c r="K141" s="751">
        <f t="shared" si="205"/>
        <v>0.16666666666666666</v>
      </c>
      <c r="L141" s="751">
        <f t="shared" si="206"/>
        <v>0.5</v>
      </c>
      <c r="M141" s="751">
        <f t="shared" si="207"/>
        <v>0.33333333333333331</v>
      </c>
      <c r="N141" s="751">
        <f t="shared" si="208"/>
        <v>0</v>
      </c>
      <c r="O141" s="751">
        <f t="shared" si="209"/>
        <v>0</v>
      </c>
      <c r="P141" s="752">
        <f t="shared" si="210"/>
        <v>0</v>
      </c>
      <c r="Q141" s="751">
        <f t="shared" si="211"/>
        <v>8.3333333333333329E-2</v>
      </c>
      <c r="R141" s="751">
        <f t="shared" si="212"/>
        <v>0.58333333333333337</v>
      </c>
      <c r="S141" s="72">
        <f t="shared" si="213"/>
        <v>0.33333333333333331</v>
      </c>
      <c r="T141" s="72">
        <f t="shared" si="214"/>
        <v>0</v>
      </c>
      <c r="U141" s="753">
        <f>0</f>
        <v>0</v>
      </c>
      <c r="V141" s="728"/>
    </row>
    <row r="142" spans="1:22">
      <c r="A142" s="782" t="s">
        <v>114</v>
      </c>
      <c r="B142" s="8">
        <v>24</v>
      </c>
      <c r="C142" s="729"/>
      <c r="D142" s="732">
        <f>COUNTIF(App_num,B142)</f>
        <v>12</v>
      </c>
      <c r="E142" s="8">
        <f>SUMIFS(Check0,App_num,$B142)</f>
        <v>2</v>
      </c>
      <c r="F142" s="8">
        <f>SUMIFS(Check1,App_num,$B142)</f>
        <v>4</v>
      </c>
      <c r="G142" s="8">
        <f>SUMIFS(Check2,App_num,$B142)</f>
        <v>2</v>
      </c>
      <c r="H142" s="8">
        <f>SUMIFS(Check3,App_num,$B142)</f>
        <v>2</v>
      </c>
      <c r="I142" s="8">
        <f>SUMIFS(Check4,App_num,$B142)</f>
        <v>1</v>
      </c>
      <c r="J142" s="737">
        <f t="shared" si="241"/>
        <v>1</v>
      </c>
      <c r="K142" s="751">
        <f t="shared" si="205"/>
        <v>0.16666666666666666</v>
      </c>
      <c r="L142" s="751">
        <f t="shared" si="206"/>
        <v>0.33333333333333331</v>
      </c>
      <c r="M142" s="751">
        <f t="shared" si="207"/>
        <v>0.16666666666666666</v>
      </c>
      <c r="N142" s="751">
        <f t="shared" si="208"/>
        <v>0.16666666666666666</v>
      </c>
      <c r="O142" s="751">
        <f t="shared" si="209"/>
        <v>8.3333333333333329E-2</v>
      </c>
      <c r="P142" s="752">
        <f t="shared" si="210"/>
        <v>8.3333333333333329E-2</v>
      </c>
      <c r="Q142" s="751">
        <f t="shared" si="211"/>
        <v>0.125</v>
      </c>
      <c r="R142" s="751">
        <f t="shared" si="212"/>
        <v>0.45833333333333331</v>
      </c>
      <c r="S142" s="72">
        <f t="shared" si="213"/>
        <v>0.16666666666666666</v>
      </c>
      <c r="T142" s="72">
        <f t="shared" si="214"/>
        <v>0.25</v>
      </c>
      <c r="U142" s="753">
        <f>0</f>
        <v>0</v>
      </c>
      <c r="V142" s="728"/>
    </row>
    <row r="143" spans="1:22">
      <c r="A143" s="782" t="s">
        <v>1156</v>
      </c>
      <c r="B143" s="8">
        <v>24</v>
      </c>
      <c r="C143" s="729">
        <v>1</v>
      </c>
      <c r="D143" s="732">
        <f>COUNTIFS(App_num,B143,Rep_num,C143)</f>
        <v>5</v>
      </c>
      <c r="E143" s="8">
        <f>SUMIFS(Check0,App_num,$B143,Rep_num,$C143)</f>
        <v>1</v>
      </c>
      <c r="F143" s="8">
        <f>SUMIFS(Check1,App_num,$B143,Rep_num,$C143)</f>
        <v>1</v>
      </c>
      <c r="G143" s="8">
        <f>SUMIFS(Check2,App_num,$B143,Rep_num,$C143)</f>
        <v>1</v>
      </c>
      <c r="H143" s="8">
        <f>SUMIFS(Check3,App_num,$B143,Rep_num,$C143)</f>
        <v>1</v>
      </c>
      <c r="I143" s="8">
        <f>SUMIFS(Check4,App_num,$B143,Rep_num,$C143)</f>
        <v>1</v>
      </c>
      <c r="J143" s="737">
        <f t="shared" si="241"/>
        <v>0</v>
      </c>
      <c r="K143" s="751">
        <f t="shared" si="205"/>
        <v>0.2</v>
      </c>
      <c r="L143" s="751">
        <f t="shared" si="206"/>
        <v>0.2</v>
      </c>
      <c r="M143" s="751">
        <f t="shared" si="207"/>
        <v>0.2</v>
      </c>
      <c r="N143" s="751">
        <f t="shared" si="208"/>
        <v>0.2</v>
      </c>
      <c r="O143" s="751">
        <f t="shared" si="209"/>
        <v>0.2</v>
      </c>
      <c r="P143" s="752">
        <f t="shared" si="210"/>
        <v>0</v>
      </c>
      <c r="Q143" s="751">
        <f t="shared" si="211"/>
        <v>0.1</v>
      </c>
      <c r="R143" s="751">
        <f t="shared" si="212"/>
        <v>0.30000000000000004</v>
      </c>
      <c r="S143" s="72">
        <f t="shared" si="213"/>
        <v>0.2</v>
      </c>
      <c r="T143" s="72">
        <f t="shared" si="214"/>
        <v>0.4</v>
      </c>
      <c r="U143" s="753">
        <f>0</f>
        <v>0</v>
      </c>
      <c r="V143" s="728"/>
    </row>
    <row r="144" spans="1:22">
      <c r="A144" s="782" t="s">
        <v>1157</v>
      </c>
      <c r="B144" s="8">
        <v>24</v>
      </c>
      <c r="C144" s="729">
        <v>2</v>
      </c>
      <c r="D144" s="732">
        <f>COUNTIFS(App_num,B144,Rep_num,C144)</f>
        <v>7</v>
      </c>
      <c r="E144" s="8">
        <f>SUMIFS(Check0,App_num,$B144,Rep_num,$C144)</f>
        <v>1</v>
      </c>
      <c r="F144" s="8">
        <f>SUMIFS(Check1,App_num,$B144,Rep_num,$C144)</f>
        <v>3</v>
      </c>
      <c r="G144" s="8">
        <f>SUMIFS(Check2,App_num,$B144,Rep_num,$C144)</f>
        <v>1</v>
      </c>
      <c r="H144" s="8">
        <f>SUMIFS(Check3,App_num,$B144,Rep_num,$C144)</f>
        <v>1</v>
      </c>
      <c r="I144" s="8">
        <f>SUMIFS(Check4,App_num,$B144,Rep_num,$C144)</f>
        <v>0</v>
      </c>
      <c r="J144" s="737">
        <f t="shared" si="241"/>
        <v>1</v>
      </c>
      <c r="K144" s="751">
        <f t="shared" si="205"/>
        <v>0.14285714285714285</v>
      </c>
      <c r="L144" s="751">
        <f t="shared" si="206"/>
        <v>0.42857142857142855</v>
      </c>
      <c r="M144" s="751">
        <f t="shared" si="207"/>
        <v>0.14285714285714285</v>
      </c>
      <c r="N144" s="751">
        <f t="shared" si="208"/>
        <v>0.14285714285714285</v>
      </c>
      <c r="O144" s="751">
        <f t="shared" si="209"/>
        <v>0</v>
      </c>
      <c r="P144" s="752">
        <f t="shared" si="210"/>
        <v>0.14285714285714285</v>
      </c>
      <c r="Q144" s="751">
        <f t="shared" si="211"/>
        <v>0.14285714285714285</v>
      </c>
      <c r="R144" s="751">
        <f t="shared" si="212"/>
        <v>0.5714285714285714</v>
      </c>
      <c r="S144" s="72">
        <f t="shared" si="213"/>
        <v>0.14285714285714285</v>
      </c>
      <c r="T144" s="72">
        <f t="shared" si="214"/>
        <v>0.14285714285714285</v>
      </c>
      <c r="U144" s="753">
        <f>0</f>
        <v>0</v>
      </c>
      <c r="V144" s="728"/>
    </row>
    <row r="145" spans="1:22">
      <c r="A145" s="782" t="s">
        <v>119</v>
      </c>
      <c r="B145" s="8">
        <v>29</v>
      </c>
      <c r="C145" s="729"/>
      <c r="D145" s="732">
        <f>COUNTIF(App_num,B145)</f>
        <v>24</v>
      </c>
      <c r="E145" s="8">
        <f>SUMIFS(Check0,App_num,$B145)</f>
        <v>18</v>
      </c>
      <c r="F145" s="8">
        <f>SUMIFS(Check1,App_num,$B145)</f>
        <v>2</v>
      </c>
      <c r="G145" s="8">
        <f>SUMIFS(Check2,App_num,$B145)</f>
        <v>0</v>
      </c>
      <c r="H145" s="8">
        <f>SUMIFS(Check3,App_num,$B145)</f>
        <v>0</v>
      </c>
      <c r="I145" s="8">
        <f>SUMIFS(Check4,App_num,$B145)</f>
        <v>0</v>
      </c>
      <c r="J145" s="737">
        <f t="shared" ref="J145:J148" si="242">D145-SUM(E145:I145)</f>
        <v>4</v>
      </c>
      <c r="K145" s="751">
        <f t="shared" si="205"/>
        <v>0.75</v>
      </c>
      <c r="L145" s="751">
        <f t="shared" si="206"/>
        <v>8.3333333333333329E-2</v>
      </c>
      <c r="M145" s="751">
        <f t="shared" si="207"/>
        <v>0</v>
      </c>
      <c r="N145" s="751">
        <f t="shared" si="208"/>
        <v>0</v>
      </c>
      <c r="O145" s="751">
        <f t="shared" si="209"/>
        <v>0</v>
      </c>
      <c r="P145" s="752">
        <f t="shared" si="210"/>
        <v>0.16666666666666666</v>
      </c>
      <c r="Q145" s="751">
        <f t="shared" si="211"/>
        <v>0.45833333333333331</v>
      </c>
      <c r="R145" s="751">
        <f t="shared" si="212"/>
        <v>0.54166666666666663</v>
      </c>
      <c r="S145" s="72">
        <f t="shared" si="213"/>
        <v>0</v>
      </c>
      <c r="T145" s="72">
        <f t="shared" si="214"/>
        <v>0</v>
      </c>
      <c r="U145" s="753">
        <f>0</f>
        <v>0</v>
      </c>
      <c r="V145" s="728"/>
    </row>
    <row r="146" spans="1:22">
      <c r="A146" s="782" t="s">
        <v>184</v>
      </c>
      <c r="B146" s="8">
        <v>32</v>
      </c>
      <c r="C146" s="729"/>
      <c r="D146" s="732">
        <f>COUNTIF(App_num,B146)</f>
        <v>8</v>
      </c>
      <c r="E146" s="8">
        <f>SUMIFS(Check0,App_num,$B146)</f>
        <v>6</v>
      </c>
      <c r="F146" s="8">
        <f>SUMIFS(Check1,App_num,$B146)</f>
        <v>0</v>
      </c>
      <c r="G146" s="8">
        <f>SUMIFS(Check2,App_num,$B146)</f>
        <v>1</v>
      </c>
      <c r="H146" s="8">
        <f>SUMIFS(Check3,App_num,$B146)</f>
        <v>0</v>
      </c>
      <c r="I146" s="8">
        <f>SUMIFS(Check4,App_num,$B146)</f>
        <v>0</v>
      </c>
      <c r="J146" s="737">
        <f t="shared" si="242"/>
        <v>1</v>
      </c>
      <c r="K146" s="751">
        <f t="shared" si="205"/>
        <v>0.75</v>
      </c>
      <c r="L146" s="751">
        <f t="shared" si="206"/>
        <v>0</v>
      </c>
      <c r="M146" s="751">
        <f t="shared" si="207"/>
        <v>0.125</v>
      </c>
      <c r="N146" s="751">
        <f t="shared" si="208"/>
        <v>0</v>
      </c>
      <c r="O146" s="751">
        <f t="shared" si="209"/>
        <v>0</v>
      </c>
      <c r="P146" s="752">
        <f t="shared" si="210"/>
        <v>0.125</v>
      </c>
      <c r="Q146" s="751">
        <f t="shared" si="211"/>
        <v>0.4375</v>
      </c>
      <c r="R146" s="751">
        <f t="shared" si="212"/>
        <v>0.4375</v>
      </c>
      <c r="S146" s="72">
        <f t="shared" si="213"/>
        <v>0.125</v>
      </c>
      <c r="T146" s="72">
        <f t="shared" si="214"/>
        <v>0</v>
      </c>
      <c r="U146" s="753">
        <f>0</f>
        <v>0</v>
      </c>
      <c r="V146" s="728"/>
    </row>
    <row r="147" spans="1:22">
      <c r="A147" s="782" t="s">
        <v>215</v>
      </c>
      <c r="B147" s="8">
        <v>33</v>
      </c>
      <c r="C147" s="729"/>
      <c r="D147" s="732">
        <f>COUNTIF(App_num,B147)</f>
        <v>6</v>
      </c>
      <c r="E147" s="8">
        <f>SUMIFS(Check0,App_num,$B147)</f>
        <v>6</v>
      </c>
      <c r="F147" s="8">
        <f>SUMIFS(Check1,App_num,$B147)</f>
        <v>0</v>
      </c>
      <c r="G147" s="8">
        <f>SUMIFS(Check2,App_num,$B147)</f>
        <v>0</v>
      </c>
      <c r="H147" s="8">
        <f>SUMIFS(Check3,App_num,$B147)</f>
        <v>0</v>
      </c>
      <c r="I147" s="8">
        <f>SUMIFS(Check4,App_num,$B147)</f>
        <v>0</v>
      </c>
      <c r="J147" s="737">
        <f t="shared" si="242"/>
        <v>0</v>
      </c>
      <c r="K147" s="751">
        <f t="shared" si="205"/>
        <v>1</v>
      </c>
      <c r="L147" s="751">
        <f t="shared" si="206"/>
        <v>0</v>
      </c>
      <c r="M147" s="751">
        <f t="shared" si="207"/>
        <v>0</v>
      </c>
      <c r="N147" s="751">
        <f t="shared" si="208"/>
        <v>0</v>
      </c>
      <c r="O147" s="751">
        <f t="shared" si="209"/>
        <v>0</v>
      </c>
      <c r="P147" s="752">
        <f t="shared" si="210"/>
        <v>0</v>
      </c>
      <c r="Q147" s="751">
        <f t="shared" si="211"/>
        <v>0.5</v>
      </c>
      <c r="R147" s="751">
        <f t="shared" si="212"/>
        <v>0.5</v>
      </c>
      <c r="S147" s="72">
        <f t="shared" si="213"/>
        <v>0</v>
      </c>
      <c r="T147" s="72">
        <f t="shared" si="214"/>
        <v>0</v>
      </c>
      <c r="U147" s="753">
        <f>0</f>
        <v>0</v>
      </c>
      <c r="V147" s="728"/>
    </row>
    <row r="148" spans="1:22">
      <c r="A148" s="782" t="s">
        <v>1158</v>
      </c>
      <c r="B148" s="8">
        <v>32</v>
      </c>
      <c r="C148" s="729">
        <v>33</v>
      </c>
      <c r="D148" s="732">
        <f>COUNTIF(App_num,B148)+COUNTIF(App_num,C148)</f>
        <v>14</v>
      </c>
      <c r="E148" s="8">
        <f>E146+E147</f>
        <v>12</v>
      </c>
      <c r="F148" s="8">
        <f t="shared" ref="F148:I148" si="243">F146+F147</f>
        <v>0</v>
      </c>
      <c r="G148" s="8">
        <f t="shared" si="243"/>
        <v>1</v>
      </c>
      <c r="H148" s="8">
        <f t="shared" si="243"/>
        <v>0</v>
      </c>
      <c r="I148" s="8">
        <f t="shared" si="243"/>
        <v>0</v>
      </c>
      <c r="J148" s="737">
        <f t="shared" si="242"/>
        <v>1</v>
      </c>
      <c r="K148" s="751">
        <f t="shared" si="205"/>
        <v>0.8571428571428571</v>
      </c>
      <c r="L148" s="751">
        <f t="shared" si="206"/>
        <v>0</v>
      </c>
      <c r="M148" s="751">
        <f t="shared" si="207"/>
        <v>7.1428571428571425E-2</v>
      </c>
      <c r="N148" s="751">
        <f t="shared" si="208"/>
        <v>0</v>
      </c>
      <c r="O148" s="751">
        <f t="shared" si="209"/>
        <v>0</v>
      </c>
      <c r="P148" s="752">
        <f t="shared" si="210"/>
        <v>7.1428571428571425E-2</v>
      </c>
      <c r="Q148" s="751">
        <f t="shared" si="211"/>
        <v>0.46428571428571425</v>
      </c>
      <c r="R148" s="751">
        <f t="shared" si="212"/>
        <v>0.46428571428571425</v>
      </c>
      <c r="S148" s="72">
        <f t="shared" si="213"/>
        <v>7.1428571428571425E-2</v>
      </c>
      <c r="T148" s="72">
        <f t="shared" si="214"/>
        <v>0</v>
      </c>
      <c r="U148" s="753">
        <f>0</f>
        <v>0</v>
      </c>
      <c r="V148" s="728"/>
    </row>
    <row r="149" spans="1:22">
      <c r="A149" s="782" t="s">
        <v>121</v>
      </c>
      <c r="B149" s="8">
        <v>34</v>
      </c>
      <c r="C149" s="729"/>
      <c r="D149" s="732">
        <f>COUNTIF(App_num,B149)</f>
        <v>2</v>
      </c>
      <c r="E149" s="8">
        <f>SUMIFS(Check0,App_num,$B149)</f>
        <v>2</v>
      </c>
      <c r="F149" s="8">
        <f>SUMIFS(Check1,App_num,$B149)</f>
        <v>0</v>
      </c>
      <c r="G149" s="8">
        <f>SUMIFS(Check2,App_num,$B149)</f>
        <v>0</v>
      </c>
      <c r="H149" s="8">
        <f>SUMIFS(Check3,App_num,$B149)</f>
        <v>0</v>
      </c>
      <c r="I149" s="8">
        <f>SUMIFS(Check4,App_num,$B149)</f>
        <v>0</v>
      </c>
      <c r="J149" s="737">
        <f t="shared" ref="J149:J153" si="244">D149-SUM(E149:I149)</f>
        <v>0</v>
      </c>
      <c r="K149" s="751">
        <f t="shared" si="205"/>
        <v>1</v>
      </c>
      <c r="L149" s="751">
        <f t="shared" si="206"/>
        <v>0</v>
      </c>
      <c r="M149" s="751">
        <f t="shared" si="207"/>
        <v>0</v>
      </c>
      <c r="N149" s="751">
        <f t="shared" si="208"/>
        <v>0</v>
      </c>
      <c r="O149" s="751">
        <f t="shared" si="209"/>
        <v>0</v>
      </c>
      <c r="P149" s="752">
        <f t="shared" si="210"/>
        <v>0</v>
      </c>
      <c r="Q149" s="751">
        <f t="shared" si="211"/>
        <v>0.5</v>
      </c>
      <c r="R149" s="751">
        <f t="shared" si="212"/>
        <v>0.5</v>
      </c>
      <c r="S149" s="72">
        <f t="shared" si="213"/>
        <v>0</v>
      </c>
      <c r="T149" s="72">
        <f t="shared" si="214"/>
        <v>0</v>
      </c>
      <c r="U149" s="753">
        <f>0</f>
        <v>0</v>
      </c>
      <c r="V149" s="728"/>
    </row>
    <row r="150" spans="1:22">
      <c r="A150" s="782" t="s">
        <v>197</v>
      </c>
      <c r="B150" s="742" t="s">
        <v>283</v>
      </c>
      <c r="C150" s="743" t="s">
        <v>283</v>
      </c>
      <c r="D150" s="732">
        <v>0</v>
      </c>
      <c r="E150" s="742" t="s">
        <v>283</v>
      </c>
      <c r="F150" s="745" t="s">
        <v>283</v>
      </c>
      <c r="G150" s="745" t="s">
        <v>283</v>
      </c>
      <c r="H150" s="745" t="s">
        <v>283</v>
      </c>
      <c r="I150" s="745" t="s">
        <v>283</v>
      </c>
      <c r="J150" s="746" t="s">
        <v>283</v>
      </c>
      <c r="K150" s="751">
        <v>0.05</v>
      </c>
      <c r="L150" s="751">
        <v>0.95</v>
      </c>
      <c r="M150" s="751">
        <v>0</v>
      </c>
      <c r="N150" s="751">
        <v>0</v>
      </c>
      <c r="O150" s="751">
        <v>0</v>
      </c>
      <c r="P150" s="752">
        <v>0</v>
      </c>
      <c r="Q150" s="762">
        <v>0.05</v>
      </c>
      <c r="R150" s="762">
        <v>0.95</v>
      </c>
      <c r="S150" s="763">
        <v>0</v>
      </c>
      <c r="T150" s="763">
        <v>0</v>
      </c>
      <c r="U150" s="764">
        <v>0</v>
      </c>
      <c r="V150" s="765" t="s">
        <v>1139</v>
      </c>
    </row>
    <row r="151" spans="1:22">
      <c r="A151" s="782" t="s">
        <v>123</v>
      </c>
      <c r="B151" s="8">
        <v>49</v>
      </c>
      <c r="C151" s="729"/>
      <c r="D151" s="732">
        <f>COUNTIF(App_num,B151)</f>
        <v>1</v>
      </c>
      <c r="E151" s="8">
        <f>SUMIFS(Check0,App_num,$B151)</f>
        <v>0</v>
      </c>
      <c r="F151" s="8">
        <f>SUMIFS(Check1,App_num,$B151)</f>
        <v>1</v>
      </c>
      <c r="G151" s="8">
        <f>SUMIFS(Check2,App_num,$B151)</f>
        <v>0</v>
      </c>
      <c r="H151" s="8">
        <f>SUMIFS(Check3,App_num,$B151)</f>
        <v>0</v>
      </c>
      <c r="I151" s="8">
        <f>SUMIFS(Check4,App_num,$B151)</f>
        <v>0</v>
      </c>
      <c r="J151" s="737">
        <f t="shared" si="244"/>
        <v>0</v>
      </c>
      <c r="K151" s="751">
        <f t="shared" si="205"/>
        <v>0</v>
      </c>
      <c r="L151" s="751">
        <f t="shared" si="206"/>
        <v>1</v>
      </c>
      <c r="M151" s="751">
        <f t="shared" si="207"/>
        <v>0</v>
      </c>
      <c r="N151" s="751">
        <f t="shared" si="208"/>
        <v>0</v>
      </c>
      <c r="O151" s="751">
        <f t="shared" si="209"/>
        <v>0</v>
      </c>
      <c r="P151" s="752">
        <f t="shared" si="210"/>
        <v>0</v>
      </c>
      <c r="Q151" s="751">
        <f t="shared" si="211"/>
        <v>0</v>
      </c>
      <c r="R151" s="751">
        <f t="shared" si="212"/>
        <v>1</v>
      </c>
      <c r="S151" s="72">
        <f t="shared" si="213"/>
        <v>0</v>
      </c>
      <c r="T151" s="72">
        <f t="shared" si="214"/>
        <v>0</v>
      </c>
      <c r="U151" s="753">
        <f>0</f>
        <v>0</v>
      </c>
      <c r="V151" s="728"/>
    </row>
    <row r="152" spans="1:22">
      <c r="A152" s="782" t="s">
        <v>125</v>
      </c>
      <c r="B152" s="8">
        <v>51</v>
      </c>
      <c r="C152" s="729"/>
      <c r="D152" s="732">
        <f>COUNTIF(App_num,B152)</f>
        <v>7</v>
      </c>
      <c r="E152" s="8">
        <f>SUMIFS(Check0,App_num,$B152)</f>
        <v>3</v>
      </c>
      <c r="F152" s="8">
        <f>SUMIFS(Check1,App_num,$B152)</f>
        <v>2</v>
      </c>
      <c r="G152" s="8">
        <f>SUMIFS(Check2,App_num,$B152)</f>
        <v>1</v>
      </c>
      <c r="H152" s="8">
        <f>SUMIFS(Check3,App_num,$B152)</f>
        <v>0</v>
      </c>
      <c r="I152" s="8">
        <f>SUMIFS(Check4,App_num,$B152)</f>
        <v>0</v>
      </c>
      <c r="J152" s="737">
        <f t="shared" si="244"/>
        <v>1</v>
      </c>
      <c r="K152" s="751">
        <f t="shared" si="205"/>
        <v>0.42857142857142855</v>
      </c>
      <c r="L152" s="751">
        <f t="shared" si="206"/>
        <v>0.2857142857142857</v>
      </c>
      <c r="M152" s="751">
        <f t="shared" si="207"/>
        <v>0.14285714285714285</v>
      </c>
      <c r="N152" s="751">
        <f t="shared" si="208"/>
        <v>0</v>
      </c>
      <c r="O152" s="751">
        <f t="shared" si="209"/>
        <v>0</v>
      </c>
      <c r="P152" s="752">
        <f t="shared" si="210"/>
        <v>0.14285714285714285</v>
      </c>
      <c r="Q152" s="751">
        <f t="shared" si="211"/>
        <v>0.2857142857142857</v>
      </c>
      <c r="R152" s="751">
        <f t="shared" si="212"/>
        <v>0.5714285714285714</v>
      </c>
      <c r="S152" s="72">
        <f t="shared" si="213"/>
        <v>0.14285714285714285</v>
      </c>
      <c r="T152" s="72">
        <f t="shared" si="214"/>
        <v>0</v>
      </c>
      <c r="U152" s="753">
        <f>0</f>
        <v>0</v>
      </c>
      <c r="V152" s="728"/>
    </row>
    <row r="153" spans="1:22" ht="13.5" thickBot="1">
      <c r="A153" s="787" t="s">
        <v>181</v>
      </c>
      <c r="B153" s="731">
        <v>52</v>
      </c>
      <c r="C153" s="734"/>
      <c r="D153" s="733">
        <f>COUNTIF(App_num,B153)</f>
        <v>7</v>
      </c>
      <c r="E153" s="731">
        <f>SUMIFS(Check0,App_num,$B153)</f>
        <v>3</v>
      </c>
      <c r="F153" s="731">
        <f>SUMIFS(Check1,App_num,$B153)</f>
        <v>1</v>
      </c>
      <c r="G153" s="731">
        <f>SUMIFS(Check2,App_num,$B153)</f>
        <v>2</v>
      </c>
      <c r="H153" s="731">
        <f>SUMIFS(Check3,App_num,$B153)</f>
        <v>1</v>
      </c>
      <c r="I153" s="731">
        <f>SUMIFS(Check4,App_num,$B153)</f>
        <v>0</v>
      </c>
      <c r="J153" s="738">
        <f t="shared" si="244"/>
        <v>0</v>
      </c>
      <c r="K153" s="758">
        <f t="shared" si="205"/>
        <v>0.42857142857142855</v>
      </c>
      <c r="L153" s="758">
        <f t="shared" si="206"/>
        <v>0.14285714285714285</v>
      </c>
      <c r="M153" s="758">
        <f t="shared" si="207"/>
        <v>0.2857142857142857</v>
      </c>
      <c r="N153" s="758">
        <f t="shared" si="208"/>
        <v>0.14285714285714285</v>
      </c>
      <c r="O153" s="758">
        <f t="shared" si="209"/>
        <v>0</v>
      </c>
      <c r="P153" s="759">
        <f t="shared" si="210"/>
        <v>0</v>
      </c>
      <c r="Q153" s="758">
        <f t="shared" si="211"/>
        <v>0.21428571428571427</v>
      </c>
      <c r="R153" s="758">
        <f t="shared" si="212"/>
        <v>0.3571428571428571</v>
      </c>
      <c r="S153" s="760">
        <f t="shared" si="213"/>
        <v>0.2857142857142857</v>
      </c>
      <c r="T153" s="760">
        <f t="shared" si="214"/>
        <v>0.14285714285714285</v>
      </c>
      <c r="U153" s="761">
        <f>0</f>
        <v>0</v>
      </c>
      <c r="V153" s="728"/>
    </row>
    <row r="154" spans="1:22">
      <c r="A154" s="788" t="s">
        <v>283</v>
      </c>
      <c r="G154"/>
      <c r="L154" s="15"/>
    </row>
    <row r="155" spans="1:22">
      <c r="I155" s="7"/>
      <c r="J155" s="7"/>
    </row>
    <row r="157" spans="1:22">
      <c r="G157"/>
    </row>
    <row r="158" spans="1:22">
      <c r="B158" s="797"/>
      <c r="C158" s="1181" t="s">
        <v>1017</v>
      </c>
      <c r="D158" s="1182"/>
      <c r="E158" s="1182"/>
      <c r="F158" s="1182"/>
      <c r="G158" s="1183"/>
      <c r="H158" s="809" t="s">
        <v>1208</v>
      </c>
      <c r="I158" s="809"/>
      <c r="J158" s="809"/>
      <c r="K158" s="809"/>
      <c r="L158" s="809"/>
      <c r="M158" s="810"/>
    </row>
    <row r="159" spans="1:22">
      <c r="A159" s="796" t="s">
        <v>104</v>
      </c>
      <c r="B159" s="798" t="s">
        <v>1166</v>
      </c>
      <c r="C159" s="689" t="s">
        <v>1011</v>
      </c>
      <c r="D159" s="690" t="s">
        <v>1012</v>
      </c>
      <c r="E159" s="690" t="s">
        <v>1013</v>
      </c>
      <c r="F159" s="690" t="s">
        <v>1014</v>
      </c>
      <c r="G159" s="819" t="s">
        <v>1015</v>
      </c>
      <c r="H159" s="811" t="s">
        <v>1209</v>
      </c>
      <c r="I159" s="811" t="s">
        <v>1011</v>
      </c>
      <c r="J159" s="811" t="s">
        <v>1012</v>
      </c>
      <c r="K159" s="811" t="s">
        <v>1013</v>
      </c>
      <c r="L159" s="811" t="s">
        <v>1014</v>
      </c>
      <c r="M159" s="812" t="s">
        <v>1015</v>
      </c>
    </row>
    <row r="160" spans="1:22">
      <c r="A160" s="789" t="s">
        <v>105</v>
      </c>
      <c r="B160" s="789" t="s">
        <v>105</v>
      </c>
      <c r="C160" s="803">
        <f t="shared" ref="C160:C191" si="245">VLOOKUP($B160,Results,17,FALSE)</f>
        <v>0.5</v>
      </c>
      <c r="D160" s="803">
        <f t="shared" ref="D160:D191" si="246">VLOOKUP($B160,Results,18,FALSE)</f>
        <v>0.5</v>
      </c>
      <c r="E160" s="803">
        <f t="shared" ref="E160:E191" si="247">VLOOKUP($B160,Results,19,FALSE)</f>
        <v>0</v>
      </c>
      <c r="F160" s="803">
        <f t="shared" ref="F160:F191" si="248">VLOOKUP($B160,Results,20,FALSE)</f>
        <v>0</v>
      </c>
      <c r="G160" s="820">
        <f t="shared" ref="G160:G191" si="249">VLOOKUP($B160,Results,21,FALSE)</f>
        <v>0</v>
      </c>
      <c r="H160" s="813">
        <f t="shared" ref="H160:H191" si="250">VLOOKUP($B160,Results,16,FALSE)</f>
        <v>0</v>
      </c>
      <c r="I160" s="803">
        <f t="shared" ref="I160:I191" si="251">VLOOKUP($B160,Results,11,FALSE)</f>
        <v>0.5</v>
      </c>
      <c r="J160" s="803">
        <f t="shared" ref="J160:J191" si="252">VLOOKUP($B160,Results,12,FALSE)</f>
        <v>0.5</v>
      </c>
      <c r="K160" s="803">
        <f t="shared" ref="K160:K191" si="253">VLOOKUP($B160,Results,13,FALSE)</f>
        <v>0</v>
      </c>
      <c r="L160" s="803">
        <f t="shared" ref="L160:L191" si="254">VLOOKUP($B160,Results,14,FALSE)</f>
        <v>0</v>
      </c>
      <c r="M160" s="803">
        <f t="shared" ref="M160:M191" si="255">VLOOKUP($B160,Results,15,FALSE)</f>
        <v>0</v>
      </c>
    </row>
    <row r="161" spans="1:13">
      <c r="A161" s="790" t="s">
        <v>106</v>
      </c>
      <c r="B161" s="790" t="s">
        <v>1148</v>
      </c>
      <c r="C161" s="804">
        <f t="shared" si="245"/>
        <v>0.4</v>
      </c>
      <c r="D161" s="804">
        <f t="shared" si="246"/>
        <v>0.5</v>
      </c>
      <c r="E161" s="804">
        <f t="shared" si="247"/>
        <v>0.04</v>
      </c>
      <c r="F161" s="804">
        <f t="shared" si="248"/>
        <v>0.06</v>
      </c>
      <c r="G161" s="821">
        <f t="shared" si="249"/>
        <v>0</v>
      </c>
      <c r="H161" s="814">
        <f t="shared" si="250"/>
        <v>0.12</v>
      </c>
      <c r="I161" s="804">
        <f t="shared" si="251"/>
        <v>0.68</v>
      </c>
      <c r="J161" s="804">
        <f t="shared" si="252"/>
        <v>0.1</v>
      </c>
      <c r="K161" s="804">
        <f t="shared" si="253"/>
        <v>0.04</v>
      </c>
      <c r="L161" s="804">
        <f t="shared" si="254"/>
        <v>0.04</v>
      </c>
      <c r="M161" s="804">
        <f t="shared" si="255"/>
        <v>0.02</v>
      </c>
    </row>
    <row r="162" spans="1:13">
      <c r="A162" s="789" t="s">
        <v>107</v>
      </c>
      <c r="B162" s="789" t="s">
        <v>1149</v>
      </c>
      <c r="C162" s="803">
        <f t="shared" si="245"/>
        <v>0.21153846153846154</v>
      </c>
      <c r="D162" s="803">
        <f t="shared" si="246"/>
        <v>0.55769230769230771</v>
      </c>
      <c r="E162" s="803">
        <f t="shared" si="247"/>
        <v>0.19230769230769232</v>
      </c>
      <c r="F162" s="803">
        <f t="shared" si="248"/>
        <v>3.8461538461538464E-2</v>
      </c>
      <c r="G162" s="820">
        <f t="shared" si="249"/>
        <v>0</v>
      </c>
      <c r="H162" s="813">
        <f t="shared" si="250"/>
        <v>7.6923076923076927E-2</v>
      </c>
      <c r="I162" s="803">
        <f t="shared" si="251"/>
        <v>0.34615384615384615</v>
      </c>
      <c r="J162" s="803">
        <f t="shared" si="252"/>
        <v>0.34615384615384615</v>
      </c>
      <c r="K162" s="803">
        <f t="shared" si="253"/>
        <v>0.19230769230769232</v>
      </c>
      <c r="L162" s="803">
        <f t="shared" si="254"/>
        <v>3.8461538461538464E-2</v>
      </c>
      <c r="M162" s="803">
        <f t="shared" si="255"/>
        <v>0</v>
      </c>
    </row>
    <row r="163" spans="1:13">
      <c r="A163" s="790" t="s">
        <v>108</v>
      </c>
      <c r="B163" s="790" t="s">
        <v>1148</v>
      </c>
      <c r="C163" s="804">
        <f t="shared" si="245"/>
        <v>0.4</v>
      </c>
      <c r="D163" s="804">
        <f t="shared" si="246"/>
        <v>0.5</v>
      </c>
      <c r="E163" s="804">
        <f t="shared" si="247"/>
        <v>0.04</v>
      </c>
      <c r="F163" s="804">
        <f t="shared" si="248"/>
        <v>0.06</v>
      </c>
      <c r="G163" s="821">
        <f t="shared" si="249"/>
        <v>0</v>
      </c>
      <c r="H163" s="814">
        <f t="shared" si="250"/>
        <v>0.12</v>
      </c>
      <c r="I163" s="804">
        <f t="shared" si="251"/>
        <v>0.68</v>
      </c>
      <c r="J163" s="804">
        <f t="shared" si="252"/>
        <v>0.1</v>
      </c>
      <c r="K163" s="804">
        <f t="shared" si="253"/>
        <v>0.04</v>
      </c>
      <c r="L163" s="804">
        <f t="shared" si="254"/>
        <v>0.04</v>
      </c>
      <c r="M163" s="804">
        <f t="shared" si="255"/>
        <v>0.02</v>
      </c>
    </row>
    <row r="164" spans="1:13">
      <c r="A164" s="789" t="s">
        <v>109</v>
      </c>
      <c r="B164" s="789" t="s">
        <v>1148</v>
      </c>
      <c r="C164" s="803">
        <f t="shared" si="245"/>
        <v>0.4</v>
      </c>
      <c r="D164" s="803">
        <f t="shared" si="246"/>
        <v>0.5</v>
      </c>
      <c r="E164" s="803">
        <f t="shared" si="247"/>
        <v>0.04</v>
      </c>
      <c r="F164" s="803">
        <f t="shared" si="248"/>
        <v>0.06</v>
      </c>
      <c r="G164" s="820">
        <f t="shared" si="249"/>
        <v>0</v>
      </c>
      <c r="H164" s="813">
        <f t="shared" si="250"/>
        <v>0.12</v>
      </c>
      <c r="I164" s="803">
        <f t="shared" si="251"/>
        <v>0.68</v>
      </c>
      <c r="J164" s="803">
        <f t="shared" si="252"/>
        <v>0.1</v>
      </c>
      <c r="K164" s="803">
        <f t="shared" si="253"/>
        <v>0.04</v>
      </c>
      <c r="L164" s="803">
        <f t="shared" si="254"/>
        <v>0.04</v>
      </c>
      <c r="M164" s="803">
        <f t="shared" si="255"/>
        <v>0.02</v>
      </c>
    </row>
    <row r="165" spans="1:13">
      <c r="A165" s="790" t="s">
        <v>99</v>
      </c>
      <c r="B165" s="790" t="s">
        <v>1149</v>
      </c>
      <c r="C165" s="804">
        <f t="shared" si="245"/>
        <v>0.21153846153846154</v>
      </c>
      <c r="D165" s="804">
        <f t="shared" si="246"/>
        <v>0.55769230769230771</v>
      </c>
      <c r="E165" s="804">
        <f t="shared" si="247"/>
        <v>0.19230769230769232</v>
      </c>
      <c r="F165" s="804">
        <f t="shared" si="248"/>
        <v>3.8461538461538464E-2</v>
      </c>
      <c r="G165" s="821">
        <f t="shared" si="249"/>
        <v>0</v>
      </c>
      <c r="H165" s="814">
        <f t="shared" si="250"/>
        <v>7.6923076923076927E-2</v>
      </c>
      <c r="I165" s="804">
        <f t="shared" si="251"/>
        <v>0.34615384615384615</v>
      </c>
      <c r="J165" s="804">
        <f t="shared" si="252"/>
        <v>0.34615384615384615</v>
      </c>
      <c r="K165" s="804">
        <f t="shared" si="253"/>
        <v>0.19230769230769232</v>
      </c>
      <c r="L165" s="804">
        <f t="shared" si="254"/>
        <v>3.8461538461538464E-2</v>
      </c>
      <c r="M165" s="804">
        <f t="shared" si="255"/>
        <v>0</v>
      </c>
    </row>
    <row r="166" spans="1:13">
      <c r="A166" s="789" t="s">
        <v>222</v>
      </c>
      <c r="B166" s="789" t="s">
        <v>1167</v>
      </c>
      <c r="C166" s="803">
        <f t="shared" si="245"/>
        <v>0.33552631578947367</v>
      </c>
      <c r="D166" s="803">
        <f t="shared" si="246"/>
        <v>0.51973684210526316</v>
      </c>
      <c r="E166" s="803">
        <f t="shared" si="247"/>
        <v>9.2105263157894732E-2</v>
      </c>
      <c r="F166" s="803">
        <f t="shared" si="248"/>
        <v>5.2631578947368418E-2</v>
      </c>
      <c r="G166" s="820">
        <f t="shared" si="249"/>
        <v>0</v>
      </c>
      <c r="H166" s="813">
        <f t="shared" si="250"/>
        <v>0.10526315789473684</v>
      </c>
      <c r="I166" s="803">
        <f t="shared" si="251"/>
        <v>0.56578947368421051</v>
      </c>
      <c r="J166" s="803">
        <f t="shared" si="252"/>
        <v>0.18421052631578946</v>
      </c>
      <c r="K166" s="803">
        <f t="shared" si="253"/>
        <v>9.2105263157894732E-2</v>
      </c>
      <c r="L166" s="803">
        <f t="shared" si="254"/>
        <v>3.9473684210526314E-2</v>
      </c>
      <c r="M166" s="803">
        <f t="shared" si="255"/>
        <v>1.3157894736842105E-2</v>
      </c>
    </row>
    <row r="167" spans="1:13">
      <c r="A167" s="790" t="s">
        <v>296</v>
      </c>
      <c r="B167" s="790" t="s">
        <v>1148</v>
      </c>
      <c r="C167" s="804">
        <f t="shared" si="245"/>
        <v>0.4</v>
      </c>
      <c r="D167" s="804">
        <f t="shared" si="246"/>
        <v>0.5</v>
      </c>
      <c r="E167" s="804">
        <f t="shared" si="247"/>
        <v>0.04</v>
      </c>
      <c r="F167" s="804">
        <f t="shared" si="248"/>
        <v>0.06</v>
      </c>
      <c r="G167" s="821">
        <f t="shared" si="249"/>
        <v>0</v>
      </c>
      <c r="H167" s="814">
        <f t="shared" si="250"/>
        <v>0.12</v>
      </c>
      <c r="I167" s="804">
        <f t="shared" si="251"/>
        <v>0.68</v>
      </c>
      <c r="J167" s="804">
        <f t="shared" si="252"/>
        <v>0.1</v>
      </c>
      <c r="K167" s="804">
        <f t="shared" si="253"/>
        <v>0.04</v>
      </c>
      <c r="L167" s="804">
        <f t="shared" si="254"/>
        <v>0.04</v>
      </c>
      <c r="M167" s="804">
        <f t="shared" si="255"/>
        <v>0.02</v>
      </c>
    </row>
    <row r="168" spans="1:13">
      <c r="A168" s="791" t="s">
        <v>223</v>
      </c>
      <c r="B168" s="791" t="s">
        <v>1148</v>
      </c>
      <c r="C168" s="805">
        <f t="shared" si="245"/>
        <v>0.4</v>
      </c>
      <c r="D168" s="805">
        <f t="shared" si="246"/>
        <v>0.5</v>
      </c>
      <c r="E168" s="805">
        <f t="shared" si="247"/>
        <v>0.04</v>
      </c>
      <c r="F168" s="805">
        <f t="shared" si="248"/>
        <v>0.06</v>
      </c>
      <c r="G168" s="822">
        <f t="shared" si="249"/>
        <v>0</v>
      </c>
      <c r="H168" s="815">
        <f t="shared" si="250"/>
        <v>0.12</v>
      </c>
      <c r="I168" s="805">
        <f t="shared" si="251"/>
        <v>0.68</v>
      </c>
      <c r="J168" s="805">
        <f t="shared" si="252"/>
        <v>0.1</v>
      </c>
      <c r="K168" s="805">
        <f t="shared" si="253"/>
        <v>0.04</v>
      </c>
      <c r="L168" s="805">
        <f t="shared" si="254"/>
        <v>0.04</v>
      </c>
      <c r="M168" s="805">
        <f t="shared" si="255"/>
        <v>0.02</v>
      </c>
    </row>
    <row r="169" spans="1:13">
      <c r="A169" s="790" t="s">
        <v>224</v>
      </c>
      <c r="B169" s="790" t="s">
        <v>1148</v>
      </c>
      <c r="C169" s="804">
        <f t="shared" si="245"/>
        <v>0.4</v>
      </c>
      <c r="D169" s="804">
        <f t="shared" si="246"/>
        <v>0.5</v>
      </c>
      <c r="E169" s="804">
        <f t="shared" si="247"/>
        <v>0.04</v>
      </c>
      <c r="F169" s="804">
        <f t="shared" si="248"/>
        <v>0.06</v>
      </c>
      <c r="G169" s="821">
        <f t="shared" si="249"/>
        <v>0</v>
      </c>
      <c r="H169" s="814">
        <f t="shared" si="250"/>
        <v>0.12</v>
      </c>
      <c r="I169" s="804">
        <f t="shared" si="251"/>
        <v>0.68</v>
      </c>
      <c r="J169" s="804">
        <f t="shared" si="252"/>
        <v>0.1</v>
      </c>
      <c r="K169" s="804">
        <f t="shared" si="253"/>
        <v>0.04</v>
      </c>
      <c r="L169" s="804">
        <f t="shared" si="254"/>
        <v>0.04</v>
      </c>
      <c r="M169" s="804">
        <f t="shared" si="255"/>
        <v>0.02</v>
      </c>
    </row>
    <row r="170" spans="1:13">
      <c r="A170" s="789" t="s">
        <v>153</v>
      </c>
      <c r="B170" s="789" t="s">
        <v>1153</v>
      </c>
      <c r="C170" s="803">
        <f t="shared" si="245"/>
        <v>0.23684210526315788</v>
      </c>
      <c r="D170" s="803">
        <f t="shared" si="246"/>
        <v>0.5</v>
      </c>
      <c r="E170" s="803">
        <f t="shared" si="247"/>
        <v>0.26315789473684209</v>
      </c>
      <c r="F170" s="803">
        <f t="shared" si="248"/>
        <v>0</v>
      </c>
      <c r="G170" s="820">
        <f t="shared" si="249"/>
        <v>0</v>
      </c>
      <c r="H170" s="813">
        <f t="shared" si="250"/>
        <v>0.26315789473684209</v>
      </c>
      <c r="I170" s="803">
        <f t="shared" si="251"/>
        <v>0.21052631578947367</v>
      </c>
      <c r="J170" s="803">
        <f t="shared" si="252"/>
        <v>0.26315789473684209</v>
      </c>
      <c r="K170" s="803">
        <f t="shared" si="253"/>
        <v>0.26315789473684209</v>
      </c>
      <c r="L170" s="803">
        <f t="shared" si="254"/>
        <v>0</v>
      </c>
      <c r="M170" s="803">
        <f t="shared" si="255"/>
        <v>0</v>
      </c>
    </row>
    <row r="171" spans="1:13">
      <c r="A171" s="790" t="s">
        <v>154</v>
      </c>
      <c r="B171" s="790" t="s">
        <v>154</v>
      </c>
      <c r="C171" s="804">
        <f t="shared" si="245"/>
        <v>0.25757575757575757</v>
      </c>
      <c r="D171" s="804">
        <f t="shared" si="246"/>
        <v>0.53030303030303028</v>
      </c>
      <c r="E171" s="804">
        <f t="shared" si="247"/>
        <v>0.18181818181818182</v>
      </c>
      <c r="F171" s="804">
        <f t="shared" si="248"/>
        <v>3.0303030303030304E-2</v>
      </c>
      <c r="G171" s="821">
        <f t="shared" si="249"/>
        <v>0</v>
      </c>
      <c r="H171" s="814">
        <f t="shared" si="250"/>
        <v>0.24242424242424243</v>
      </c>
      <c r="I171" s="804">
        <f t="shared" si="251"/>
        <v>0.27272727272727271</v>
      </c>
      <c r="J171" s="804">
        <f t="shared" si="252"/>
        <v>0.27272727272727271</v>
      </c>
      <c r="K171" s="804">
        <f t="shared" si="253"/>
        <v>0.18181818181818182</v>
      </c>
      <c r="L171" s="804">
        <f t="shared" si="254"/>
        <v>3.0303030303030304E-2</v>
      </c>
      <c r="M171" s="804">
        <f t="shared" si="255"/>
        <v>0</v>
      </c>
    </row>
    <row r="172" spans="1:13">
      <c r="A172" s="789" t="s">
        <v>847</v>
      </c>
      <c r="B172" s="789" t="s">
        <v>1149</v>
      </c>
      <c r="C172" s="803">
        <f t="shared" si="245"/>
        <v>0.21153846153846154</v>
      </c>
      <c r="D172" s="803">
        <f t="shared" si="246"/>
        <v>0.55769230769230771</v>
      </c>
      <c r="E172" s="803">
        <f t="shared" si="247"/>
        <v>0.19230769230769232</v>
      </c>
      <c r="F172" s="803">
        <f t="shared" si="248"/>
        <v>3.8461538461538464E-2</v>
      </c>
      <c r="G172" s="820">
        <f t="shared" si="249"/>
        <v>0</v>
      </c>
      <c r="H172" s="813">
        <f t="shared" si="250"/>
        <v>7.6923076923076927E-2</v>
      </c>
      <c r="I172" s="803">
        <f t="shared" si="251"/>
        <v>0.34615384615384615</v>
      </c>
      <c r="J172" s="803">
        <f t="shared" si="252"/>
        <v>0.34615384615384615</v>
      </c>
      <c r="K172" s="803">
        <f t="shared" si="253"/>
        <v>0.19230769230769232</v>
      </c>
      <c r="L172" s="803">
        <f t="shared" si="254"/>
        <v>3.8461538461538464E-2</v>
      </c>
      <c r="M172" s="803">
        <f t="shared" si="255"/>
        <v>0</v>
      </c>
    </row>
    <row r="173" spans="1:13">
      <c r="A173" s="790" t="s">
        <v>146</v>
      </c>
      <c r="B173" s="790" t="s">
        <v>1149</v>
      </c>
      <c r="C173" s="804">
        <f t="shared" si="245"/>
        <v>0.21153846153846154</v>
      </c>
      <c r="D173" s="804">
        <f t="shared" si="246"/>
        <v>0.55769230769230771</v>
      </c>
      <c r="E173" s="804">
        <f t="shared" si="247"/>
        <v>0.19230769230769232</v>
      </c>
      <c r="F173" s="804">
        <f t="shared" si="248"/>
        <v>3.8461538461538464E-2</v>
      </c>
      <c r="G173" s="821">
        <f t="shared" si="249"/>
        <v>0</v>
      </c>
      <c r="H173" s="814">
        <f t="shared" si="250"/>
        <v>7.6923076923076927E-2</v>
      </c>
      <c r="I173" s="804">
        <f t="shared" si="251"/>
        <v>0.34615384615384615</v>
      </c>
      <c r="J173" s="804">
        <f t="shared" si="252"/>
        <v>0.34615384615384615</v>
      </c>
      <c r="K173" s="804">
        <f t="shared" si="253"/>
        <v>0.19230769230769232</v>
      </c>
      <c r="L173" s="804">
        <f t="shared" si="254"/>
        <v>3.8461538461538464E-2</v>
      </c>
      <c r="M173" s="804">
        <f t="shared" si="255"/>
        <v>0</v>
      </c>
    </row>
    <row r="174" spans="1:13">
      <c r="A174" s="789" t="s">
        <v>145</v>
      </c>
      <c r="B174" s="789" t="s">
        <v>1155</v>
      </c>
      <c r="C174" s="803">
        <f t="shared" si="245"/>
        <v>0.25</v>
      </c>
      <c r="D174" s="803">
        <f t="shared" si="246"/>
        <v>0.25</v>
      </c>
      <c r="E174" s="803">
        <f t="shared" si="247"/>
        <v>0.5</v>
      </c>
      <c r="F174" s="803">
        <f t="shared" si="248"/>
        <v>0</v>
      </c>
      <c r="G174" s="820">
        <f t="shared" si="249"/>
        <v>0</v>
      </c>
      <c r="H174" s="813">
        <f t="shared" si="250"/>
        <v>0.5</v>
      </c>
      <c r="I174" s="803">
        <f t="shared" si="251"/>
        <v>0</v>
      </c>
      <c r="J174" s="803">
        <f t="shared" si="252"/>
        <v>0</v>
      </c>
      <c r="K174" s="803">
        <f t="shared" si="253"/>
        <v>0.5</v>
      </c>
      <c r="L174" s="803">
        <f t="shared" si="254"/>
        <v>0</v>
      </c>
      <c r="M174" s="803">
        <f t="shared" si="255"/>
        <v>0</v>
      </c>
    </row>
    <row r="175" spans="1:13">
      <c r="A175" s="790" t="s">
        <v>110</v>
      </c>
      <c r="B175" s="790" t="s">
        <v>283</v>
      </c>
      <c r="C175" s="804">
        <f t="shared" si="245"/>
        <v>0</v>
      </c>
      <c r="D175" s="804">
        <f t="shared" si="246"/>
        <v>0</v>
      </c>
      <c r="E175" s="804">
        <f t="shared" si="247"/>
        <v>0</v>
      </c>
      <c r="F175" s="804">
        <f t="shared" si="248"/>
        <v>0</v>
      </c>
      <c r="G175" s="821">
        <f t="shared" si="249"/>
        <v>0</v>
      </c>
      <c r="H175" s="814">
        <f t="shared" si="250"/>
        <v>0</v>
      </c>
      <c r="I175" s="804">
        <f t="shared" si="251"/>
        <v>0</v>
      </c>
      <c r="J175" s="804">
        <f t="shared" si="252"/>
        <v>0</v>
      </c>
      <c r="K175" s="804">
        <f t="shared" si="253"/>
        <v>0</v>
      </c>
      <c r="L175" s="804">
        <f t="shared" si="254"/>
        <v>0</v>
      </c>
      <c r="M175" s="804">
        <f t="shared" si="255"/>
        <v>0</v>
      </c>
    </row>
    <row r="176" spans="1:13">
      <c r="A176" s="789" t="s">
        <v>777</v>
      </c>
      <c r="B176" s="789" t="s">
        <v>1150</v>
      </c>
      <c r="C176" s="803">
        <f t="shared" si="245"/>
        <v>0.21153846153846156</v>
      </c>
      <c r="D176" s="803">
        <f t="shared" si="246"/>
        <v>0.51923076923076927</v>
      </c>
      <c r="E176" s="803">
        <f t="shared" si="247"/>
        <v>0.26923076923076922</v>
      </c>
      <c r="F176" s="803">
        <f t="shared" si="248"/>
        <v>0</v>
      </c>
      <c r="G176" s="820">
        <f t="shared" si="249"/>
        <v>0</v>
      </c>
      <c r="H176" s="813">
        <f t="shared" si="250"/>
        <v>0.23076923076923078</v>
      </c>
      <c r="I176" s="803">
        <f t="shared" si="251"/>
        <v>0.19230769230769232</v>
      </c>
      <c r="J176" s="803">
        <f t="shared" si="252"/>
        <v>0.30769230769230771</v>
      </c>
      <c r="K176" s="803">
        <f t="shared" si="253"/>
        <v>0.26923076923076922</v>
      </c>
      <c r="L176" s="803">
        <f t="shared" si="254"/>
        <v>0</v>
      </c>
      <c r="M176" s="803">
        <f t="shared" si="255"/>
        <v>0</v>
      </c>
    </row>
    <row r="177" spans="1:13">
      <c r="A177" s="790" t="s">
        <v>225</v>
      </c>
      <c r="B177" s="790" t="s">
        <v>1149</v>
      </c>
      <c r="C177" s="804">
        <f t="shared" si="245"/>
        <v>0.21153846153846154</v>
      </c>
      <c r="D177" s="804">
        <f t="shared" si="246"/>
        <v>0.55769230769230771</v>
      </c>
      <c r="E177" s="804">
        <f t="shared" si="247"/>
        <v>0.19230769230769232</v>
      </c>
      <c r="F177" s="804">
        <f t="shared" si="248"/>
        <v>3.8461538461538464E-2</v>
      </c>
      <c r="G177" s="821">
        <f t="shared" si="249"/>
        <v>0</v>
      </c>
      <c r="H177" s="814">
        <f t="shared" si="250"/>
        <v>7.6923076923076927E-2</v>
      </c>
      <c r="I177" s="804">
        <f t="shared" si="251"/>
        <v>0.34615384615384615</v>
      </c>
      <c r="J177" s="804">
        <f t="shared" si="252"/>
        <v>0.34615384615384615</v>
      </c>
      <c r="K177" s="804">
        <f t="shared" si="253"/>
        <v>0.19230769230769232</v>
      </c>
      <c r="L177" s="804">
        <f t="shared" si="254"/>
        <v>3.8461538461538464E-2</v>
      </c>
      <c r="M177" s="804">
        <f t="shared" si="255"/>
        <v>0</v>
      </c>
    </row>
    <row r="178" spans="1:13">
      <c r="A178" s="789" t="s">
        <v>111</v>
      </c>
      <c r="B178" s="789" t="s">
        <v>283</v>
      </c>
      <c r="C178" s="803">
        <f t="shared" si="245"/>
        <v>0</v>
      </c>
      <c r="D178" s="803">
        <f t="shared" si="246"/>
        <v>0</v>
      </c>
      <c r="E178" s="803">
        <f t="shared" si="247"/>
        <v>0</v>
      </c>
      <c r="F178" s="803">
        <f t="shared" si="248"/>
        <v>0</v>
      </c>
      <c r="G178" s="820">
        <f t="shared" si="249"/>
        <v>0</v>
      </c>
      <c r="H178" s="813">
        <f t="shared" si="250"/>
        <v>0</v>
      </c>
      <c r="I178" s="803">
        <f t="shared" si="251"/>
        <v>0</v>
      </c>
      <c r="J178" s="803">
        <f t="shared" si="252"/>
        <v>0</v>
      </c>
      <c r="K178" s="803">
        <f t="shared" si="253"/>
        <v>0</v>
      </c>
      <c r="L178" s="803">
        <f t="shared" si="254"/>
        <v>0</v>
      </c>
      <c r="M178" s="803">
        <f t="shared" si="255"/>
        <v>0</v>
      </c>
    </row>
    <row r="179" spans="1:13">
      <c r="A179" s="790" t="s">
        <v>455</v>
      </c>
      <c r="B179" s="790" t="s">
        <v>455</v>
      </c>
      <c r="C179" s="804">
        <f t="shared" si="245"/>
        <v>8.3333333333333329E-2</v>
      </c>
      <c r="D179" s="804">
        <f t="shared" si="246"/>
        <v>0.58333333333333337</v>
      </c>
      <c r="E179" s="804">
        <f t="shared" si="247"/>
        <v>0.33333333333333331</v>
      </c>
      <c r="F179" s="804">
        <f t="shared" si="248"/>
        <v>0</v>
      </c>
      <c r="G179" s="821">
        <f t="shared" si="249"/>
        <v>0</v>
      </c>
      <c r="H179" s="814">
        <f t="shared" si="250"/>
        <v>0</v>
      </c>
      <c r="I179" s="804">
        <f t="shared" si="251"/>
        <v>0.16666666666666666</v>
      </c>
      <c r="J179" s="804">
        <f t="shared" si="252"/>
        <v>0.5</v>
      </c>
      <c r="K179" s="804">
        <f t="shared" si="253"/>
        <v>0.33333333333333331</v>
      </c>
      <c r="L179" s="804">
        <f t="shared" si="254"/>
        <v>0</v>
      </c>
      <c r="M179" s="804">
        <f t="shared" si="255"/>
        <v>0</v>
      </c>
    </row>
    <row r="180" spans="1:13">
      <c r="A180" s="789" t="s">
        <v>112</v>
      </c>
      <c r="B180" s="789" t="s">
        <v>1149</v>
      </c>
      <c r="C180" s="803">
        <f t="shared" si="245"/>
        <v>0.21153846153846154</v>
      </c>
      <c r="D180" s="803">
        <f t="shared" si="246"/>
        <v>0.55769230769230771</v>
      </c>
      <c r="E180" s="803">
        <f t="shared" si="247"/>
        <v>0.19230769230769232</v>
      </c>
      <c r="F180" s="803">
        <f t="shared" si="248"/>
        <v>3.8461538461538464E-2</v>
      </c>
      <c r="G180" s="820">
        <f t="shared" si="249"/>
        <v>0</v>
      </c>
      <c r="H180" s="813">
        <f t="shared" si="250"/>
        <v>7.6923076923076927E-2</v>
      </c>
      <c r="I180" s="803">
        <f t="shared" si="251"/>
        <v>0.34615384615384615</v>
      </c>
      <c r="J180" s="803">
        <f t="shared" si="252"/>
        <v>0.34615384615384615</v>
      </c>
      <c r="K180" s="803">
        <f t="shared" si="253"/>
        <v>0.19230769230769232</v>
      </c>
      <c r="L180" s="803">
        <f t="shared" si="254"/>
        <v>3.8461538461538464E-2</v>
      </c>
      <c r="M180" s="803">
        <f t="shared" si="255"/>
        <v>0</v>
      </c>
    </row>
    <row r="181" spans="1:13">
      <c r="A181" s="790" t="s">
        <v>113</v>
      </c>
      <c r="B181" s="790" t="s">
        <v>1148</v>
      </c>
      <c r="C181" s="804">
        <f t="shared" si="245"/>
        <v>0.4</v>
      </c>
      <c r="D181" s="804">
        <f t="shared" si="246"/>
        <v>0.5</v>
      </c>
      <c r="E181" s="804">
        <f t="shared" si="247"/>
        <v>0.04</v>
      </c>
      <c r="F181" s="804">
        <f t="shared" si="248"/>
        <v>0.06</v>
      </c>
      <c r="G181" s="821">
        <f t="shared" si="249"/>
        <v>0</v>
      </c>
      <c r="H181" s="814">
        <f t="shared" si="250"/>
        <v>0.12</v>
      </c>
      <c r="I181" s="804">
        <f t="shared" si="251"/>
        <v>0.68</v>
      </c>
      <c r="J181" s="804">
        <f t="shared" si="252"/>
        <v>0.1</v>
      </c>
      <c r="K181" s="804">
        <f t="shared" si="253"/>
        <v>0.04</v>
      </c>
      <c r="L181" s="804">
        <f t="shared" si="254"/>
        <v>0.04</v>
      </c>
      <c r="M181" s="804">
        <f t="shared" si="255"/>
        <v>0.02</v>
      </c>
    </row>
    <row r="182" spans="1:13">
      <c r="A182" s="789" t="s">
        <v>784</v>
      </c>
      <c r="B182" s="789" t="s">
        <v>1148</v>
      </c>
      <c r="C182" s="803">
        <f t="shared" si="245"/>
        <v>0.4</v>
      </c>
      <c r="D182" s="803">
        <f t="shared" si="246"/>
        <v>0.5</v>
      </c>
      <c r="E182" s="803">
        <f t="shared" si="247"/>
        <v>0.04</v>
      </c>
      <c r="F182" s="803">
        <f t="shared" si="248"/>
        <v>0.06</v>
      </c>
      <c r="G182" s="820">
        <f t="shared" si="249"/>
        <v>0</v>
      </c>
      <c r="H182" s="813">
        <f t="shared" si="250"/>
        <v>0.12</v>
      </c>
      <c r="I182" s="803">
        <f t="shared" si="251"/>
        <v>0.68</v>
      </c>
      <c r="J182" s="803">
        <f t="shared" si="252"/>
        <v>0.1</v>
      </c>
      <c r="K182" s="803">
        <f t="shared" si="253"/>
        <v>0.04</v>
      </c>
      <c r="L182" s="803">
        <f t="shared" si="254"/>
        <v>0.04</v>
      </c>
      <c r="M182" s="803">
        <f t="shared" si="255"/>
        <v>0.02</v>
      </c>
    </row>
    <row r="183" spans="1:13">
      <c r="A183" s="792" t="s">
        <v>114</v>
      </c>
      <c r="B183" s="792" t="s">
        <v>114</v>
      </c>
      <c r="C183" s="806">
        <f t="shared" si="245"/>
        <v>0.125</v>
      </c>
      <c r="D183" s="806">
        <f t="shared" si="246"/>
        <v>0.45833333333333331</v>
      </c>
      <c r="E183" s="806">
        <f t="shared" si="247"/>
        <v>0.16666666666666666</v>
      </c>
      <c r="F183" s="806">
        <f t="shared" si="248"/>
        <v>0.25</v>
      </c>
      <c r="G183" s="823">
        <f t="shared" si="249"/>
        <v>0</v>
      </c>
      <c r="H183" s="816">
        <f t="shared" si="250"/>
        <v>8.3333333333333329E-2</v>
      </c>
      <c r="I183" s="806">
        <f t="shared" si="251"/>
        <v>0.16666666666666666</v>
      </c>
      <c r="J183" s="806">
        <f t="shared" si="252"/>
        <v>0.33333333333333331</v>
      </c>
      <c r="K183" s="806">
        <f t="shared" si="253"/>
        <v>0.16666666666666666</v>
      </c>
      <c r="L183" s="806">
        <f t="shared" si="254"/>
        <v>0.16666666666666666</v>
      </c>
      <c r="M183" s="806">
        <f t="shared" si="255"/>
        <v>8.3333333333333329E-2</v>
      </c>
    </row>
    <row r="184" spans="1:13">
      <c r="A184" s="789" t="s">
        <v>115</v>
      </c>
      <c r="B184" s="789" t="s">
        <v>1148</v>
      </c>
      <c r="C184" s="803">
        <f t="shared" si="245"/>
        <v>0.4</v>
      </c>
      <c r="D184" s="803">
        <f t="shared" si="246"/>
        <v>0.5</v>
      </c>
      <c r="E184" s="803">
        <f t="shared" si="247"/>
        <v>0.04</v>
      </c>
      <c r="F184" s="803">
        <f t="shared" si="248"/>
        <v>0.06</v>
      </c>
      <c r="G184" s="820">
        <f t="shared" si="249"/>
        <v>0</v>
      </c>
      <c r="H184" s="813">
        <f t="shared" si="250"/>
        <v>0.12</v>
      </c>
      <c r="I184" s="803">
        <f t="shared" si="251"/>
        <v>0.68</v>
      </c>
      <c r="J184" s="803">
        <f t="shared" si="252"/>
        <v>0.1</v>
      </c>
      <c r="K184" s="803">
        <f t="shared" si="253"/>
        <v>0.04</v>
      </c>
      <c r="L184" s="803">
        <f t="shared" si="254"/>
        <v>0.04</v>
      </c>
      <c r="M184" s="803">
        <f t="shared" si="255"/>
        <v>0.02</v>
      </c>
    </row>
    <row r="185" spans="1:13">
      <c r="A185" s="792" t="s">
        <v>116</v>
      </c>
      <c r="B185" s="792" t="s">
        <v>1148</v>
      </c>
      <c r="C185" s="806">
        <f t="shared" si="245"/>
        <v>0.4</v>
      </c>
      <c r="D185" s="806">
        <f t="shared" si="246"/>
        <v>0.5</v>
      </c>
      <c r="E185" s="806">
        <f t="shared" si="247"/>
        <v>0.04</v>
      </c>
      <c r="F185" s="806">
        <f t="shared" si="248"/>
        <v>0.06</v>
      </c>
      <c r="G185" s="823">
        <f t="shared" si="249"/>
        <v>0</v>
      </c>
      <c r="H185" s="816">
        <f t="shared" si="250"/>
        <v>0.12</v>
      </c>
      <c r="I185" s="806">
        <f t="shared" si="251"/>
        <v>0.68</v>
      </c>
      <c r="J185" s="806">
        <f t="shared" si="252"/>
        <v>0.1</v>
      </c>
      <c r="K185" s="806">
        <f t="shared" si="253"/>
        <v>0.04</v>
      </c>
      <c r="L185" s="806">
        <f t="shared" si="254"/>
        <v>0.04</v>
      </c>
      <c r="M185" s="806">
        <f t="shared" si="255"/>
        <v>0.02</v>
      </c>
    </row>
    <row r="186" spans="1:13">
      <c r="A186" s="789" t="s">
        <v>117</v>
      </c>
      <c r="B186" s="789" t="s">
        <v>1148</v>
      </c>
      <c r="C186" s="803">
        <f t="shared" si="245"/>
        <v>0.4</v>
      </c>
      <c r="D186" s="803">
        <f t="shared" si="246"/>
        <v>0.5</v>
      </c>
      <c r="E186" s="803">
        <f t="shared" si="247"/>
        <v>0.04</v>
      </c>
      <c r="F186" s="803">
        <f t="shared" si="248"/>
        <v>0.06</v>
      </c>
      <c r="G186" s="820">
        <f t="shared" si="249"/>
        <v>0</v>
      </c>
      <c r="H186" s="813">
        <f t="shared" si="250"/>
        <v>0.12</v>
      </c>
      <c r="I186" s="803">
        <f t="shared" si="251"/>
        <v>0.68</v>
      </c>
      <c r="J186" s="803">
        <f t="shared" si="252"/>
        <v>0.1</v>
      </c>
      <c r="K186" s="803">
        <f t="shared" si="253"/>
        <v>0.04</v>
      </c>
      <c r="L186" s="803">
        <f t="shared" si="254"/>
        <v>0.04</v>
      </c>
      <c r="M186" s="803">
        <f t="shared" si="255"/>
        <v>0.02</v>
      </c>
    </row>
    <row r="187" spans="1:13">
      <c r="A187" s="790" t="s">
        <v>118</v>
      </c>
      <c r="B187" s="790" t="s">
        <v>1148</v>
      </c>
      <c r="C187" s="804">
        <f t="shared" si="245"/>
        <v>0.4</v>
      </c>
      <c r="D187" s="804">
        <f t="shared" si="246"/>
        <v>0.5</v>
      </c>
      <c r="E187" s="804">
        <f t="shared" si="247"/>
        <v>0.04</v>
      </c>
      <c r="F187" s="804">
        <f t="shared" si="248"/>
        <v>0.06</v>
      </c>
      <c r="G187" s="821">
        <f t="shared" si="249"/>
        <v>0</v>
      </c>
      <c r="H187" s="814">
        <f t="shared" si="250"/>
        <v>0.12</v>
      </c>
      <c r="I187" s="804">
        <f t="shared" si="251"/>
        <v>0.68</v>
      </c>
      <c r="J187" s="804">
        <f t="shared" si="252"/>
        <v>0.1</v>
      </c>
      <c r="K187" s="804">
        <f t="shared" si="253"/>
        <v>0.04</v>
      </c>
      <c r="L187" s="804">
        <f t="shared" si="254"/>
        <v>0.04</v>
      </c>
      <c r="M187" s="804">
        <f t="shared" si="255"/>
        <v>0.02</v>
      </c>
    </row>
    <row r="188" spans="1:13">
      <c r="A188" s="789" t="s">
        <v>119</v>
      </c>
      <c r="B188" s="789" t="s">
        <v>119</v>
      </c>
      <c r="C188" s="803">
        <f t="shared" si="245"/>
        <v>0.45833333333333331</v>
      </c>
      <c r="D188" s="803">
        <f t="shared" si="246"/>
        <v>0.54166666666666663</v>
      </c>
      <c r="E188" s="803">
        <f t="shared" si="247"/>
        <v>0</v>
      </c>
      <c r="F188" s="803">
        <f t="shared" si="248"/>
        <v>0</v>
      </c>
      <c r="G188" s="820">
        <f t="shared" si="249"/>
        <v>0</v>
      </c>
      <c r="H188" s="813">
        <f t="shared" si="250"/>
        <v>0.16666666666666666</v>
      </c>
      <c r="I188" s="803">
        <f t="shared" si="251"/>
        <v>0.75</v>
      </c>
      <c r="J188" s="803">
        <f t="shared" si="252"/>
        <v>8.3333333333333329E-2</v>
      </c>
      <c r="K188" s="803">
        <f t="shared" si="253"/>
        <v>0</v>
      </c>
      <c r="L188" s="803">
        <f t="shared" si="254"/>
        <v>0</v>
      </c>
      <c r="M188" s="803">
        <f t="shared" si="255"/>
        <v>0</v>
      </c>
    </row>
    <row r="189" spans="1:13">
      <c r="A189" s="790" t="s">
        <v>778</v>
      </c>
      <c r="B189" s="790" t="s">
        <v>1148</v>
      </c>
      <c r="C189" s="804">
        <f t="shared" si="245"/>
        <v>0.4</v>
      </c>
      <c r="D189" s="804">
        <f t="shared" si="246"/>
        <v>0.5</v>
      </c>
      <c r="E189" s="804">
        <f t="shared" si="247"/>
        <v>0.04</v>
      </c>
      <c r="F189" s="804">
        <f t="shared" si="248"/>
        <v>0.06</v>
      </c>
      <c r="G189" s="821">
        <f t="shared" si="249"/>
        <v>0</v>
      </c>
      <c r="H189" s="814">
        <f t="shared" si="250"/>
        <v>0.12</v>
      </c>
      <c r="I189" s="804">
        <f t="shared" si="251"/>
        <v>0.68</v>
      </c>
      <c r="J189" s="804">
        <f t="shared" si="252"/>
        <v>0.1</v>
      </c>
      <c r="K189" s="804">
        <f t="shared" si="253"/>
        <v>0.04</v>
      </c>
      <c r="L189" s="804">
        <f t="shared" si="254"/>
        <v>0.04</v>
      </c>
      <c r="M189" s="804">
        <f t="shared" si="255"/>
        <v>0.02</v>
      </c>
    </row>
    <row r="190" spans="1:13">
      <c r="A190" s="789" t="s">
        <v>120</v>
      </c>
      <c r="B190" s="789" t="s">
        <v>1148</v>
      </c>
      <c r="C190" s="803">
        <f t="shared" si="245"/>
        <v>0.4</v>
      </c>
      <c r="D190" s="803">
        <f t="shared" si="246"/>
        <v>0.5</v>
      </c>
      <c r="E190" s="803">
        <f t="shared" si="247"/>
        <v>0.04</v>
      </c>
      <c r="F190" s="803">
        <f t="shared" si="248"/>
        <v>0.06</v>
      </c>
      <c r="G190" s="820">
        <f t="shared" si="249"/>
        <v>0</v>
      </c>
      <c r="H190" s="813">
        <f t="shared" si="250"/>
        <v>0.12</v>
      </c>
      <c r="I190" s="803">
        <f t="shared" si="251"/>
        <v>0.68</v>
      </c>
      <c r="J190" s="803">
        <f t="shared" si="252"/>
        <v>0.1</v>
      </c>
      <c r="K190" s="803">
        <f t="shared" si="253"/>
        <v>0.04</v>
      </c>
      <c r="L190" s="803">
        <f t="shared" si="254"/>
        <v>0.04</v>
      </c>
      <c r="M190" s="803">
        <f t="shared" si="255"/>
        <v>0.02</v>
      </c>
    </row>
    <row r="191" spans="1:13">
      <c r="A191" s="790" t="s">
        <v>184</v>
      </c>
      <c r="B191" s="790" t="s">
        <v>1158</v>
      </c>
      <c r="C191" s="804">
        <f t="shared" si="245"/>
        <v>0.46428571428571425</v>
      </c>
      <c r="D191" s="804">
        <f t="shared" si="246"/>
        <v>0.46428571428571425</v>
      </c>
      <c r="E191" s="804">
        <f t="shared" si="247"/>
        <v>7.1428571428571425E-2</v>
      </c>
      <c r="F191" s="804">
        <f t="shared" si="248"/>
        <v>0</v>
      </c>
      <c r="G191" s="821">
        <f t="shared" si="249"/>
        <v>0</v>
      </c>
      <c r="H191" s="814">
        <f t="shared" si="250"/>
        <v>7.1428571428571425E-2</v>
      </c>
      <c r="I191" s="804">
        <f t="shared" si="251"/>
        <v>0.8571428571428571</v>
      </c>
      <c r="J191" s="804">
        <f t="shared" si="252"/>
        <v>0</v>
      </c>
      <c r="K191" s="804">
        <f t="shared" si="253"/>
        <v>7.1428571428571425E-2</v>
      </c>
      <c r="L191" s="804">
        <f t="shared" si="254"/>
        <v>0</v>
      </c>
      <c r="M191" s="804">
        <f t="shared" si="255"/>
        <v>0</v>
      </c>
    </row>
    <row r="192" spans="1:13">
      <c r="A192" s="789" t="s">
        <v>215</v>
      </c>
      <c r="B192" s="789" t="s">
        <v>1158</v>
      </c>
      <c r="C192" s="803">
        <f t="shared" ref="C192:C223" si="256">VLOOKUP($B192,Results,17,FALSE)</f>
        <v>0.46428571428571425</v>
      </c>
      <c r="D192" s="803">
        <f t="shared" ref="D192:D223" si="257">VLOOKUP($B192,Results,18,FALSE)</f>
        <v>0.46428571428571425</v>
      </c>
      <c r="E192" s="803">
        <f t="shared" ref="E192:E223" si="258">VLOOKUP($B192,Results,19,FALSE)</f>
        <v>7.1428571428571425E-2</v>
      </c>
      <c r="F192" s="803">
        <f t="shared" ref="F192:F223" si="259">VLOOKUP($B192,Results,20,FALSE)</f>
        <v>0</v>
      </c>
      <c r="G192" s="820">
        <f t="shared" ref="G192:G223" si="260">VLOOKUP($B192,Results,21,FALSE)</f>
        <v>0</v>
      </c>
      <c r="H192" s="813">
        <f t="shared" ref="H192:H223" si="261">VLOOKUP($B192,Results,16,FALSE)</f>
        <v>7.1428571428571425E-2</v>
      </c>
      <c r="I192" s="803">
        <f t="shared" ref="I192:I223" si="262">VLOOKUP($B192,Results,11,FALSE)</f>
        <v>0.8571428571428571</v>
      </c>
      <c r="J192" s="803">
        <f t="shared" ref="J192:J223" si="263">VLOOKUP($B192,Results,12,FALSE)</f>
        <v>0</v>
      </c>
      <c r="K192" s="803">
        <f t="shared" ref="K192:K223" si="264">VLOOKUP($B192,Results,13,FALSE)</f>
        <v>7.1428571428571425E-2</v>
      </c>
      <c r="L192" s="803">
        <f t="shared" ref="L192:L223" si="265">VLOOKUP($B192,Results,14,FALSE)</f>
        <v>0</v>
      </c>
      <c r="M192" s="803">
        <f t="shared" ref="M192:M223" si="266">VLOOKUP($B192,Results,15,FALSE)</f>
        <v>0</v>
      </c>
    </row>
    <row r="193" spans="1:13">
      <c r="A193" s="792" t="s">
        <v>121</v>
      </c>
      <c r="B193" s="792" t="s">
        <v>1157</v>
      </c>
      <c r="C193" s="806">
        <f t="shared" si="256"/>
        <v>0.14285714285714285</v>
      </c>
      <c r="D193" s="806">
        <f t="shared" si="257"/>
        <v>0.5714285714285714</v>
      </c>
      <c r="E193" s="806">
        <f t="shared" si="258"/>
        <v>0.14285714285714285</v>
      </c>
      <c r="F193" s="806">
        <f t="shared" si="259"/>
        <v>0.14285714285714285</v>
      </c>
      <c r="G193" s="823">
        <f t="shared" si="260"/>
        <v>0</v>
      </c>
      <c r="H193" s="816">
        <f t="shared" si="261"/>
        <v>0.14285714285714285</v>
      </c>
      <c r="I193" s="806">
        <f t="shared" si="262"/>
        <v>0.14285714285714285</v>
      </c>
      <c r="J193" s="806">
        <f t="shared" si="263"/>
        <v>0.42857142857142855</v>
      </c>
      <c r="K193" s="806">
        <f t="shared" si="264"/>
        <v>0.14285714285714285</v>
      </c>
      <c r="L193" s="806">
        <f t="shared" si="265"/>
        <v>0.14285714285714285</v>
      </c>
      <c r="M193" s="806">
        <f t="shared" si="266"/>
        <v>0</v>
      </c>
    </row>
    <row r="194" spans="1:13">
      <c r="A194" s="789" t="s">
        <v>122</v>
      </c>
      <c r="B194" s="789" t="s">
        <v>1148</v>
      </c>
      <c r="C194" s="803">
        <f t="shared" si="256"/>
        <v>0.4</v>
      </c>
      <c r="D194" s="803">
        <f t="shared" si="257"/>
        <v>0.5</v>
      </c>
      <c r="E194" s="803">
        <f t="shared" si="258"/>
        <v>0.04</v>
      </c>
      <c r="F194" s="803">
        <f t="shared" si="259"/>
        <v>0.06</v>
      </c>
      <c r="G194" s="820">
        <f t="shared" si="260"/>
        <v>0</v>
      </c>
      <c r="H194" s="813">
        <f t="shared" si="261"/>
        <v>0.12</v>
      </c>
      <c r="I194" s="803">
        <f t="shared" si="262"/>
        <v>0.68</v>
      </c>
      <c r="J194" s="803">
        <f t="shared" si="263"/>
        <v>0.1</v>
      </c>
      <c r="K194" s="803">
        <f t="shared" si="264"/>
        <v>0.04</v>
      </c>
      <c r="L194" s="803">
        <f t="shared" si="265"/>
        <v>0.04</v>
      </c>
      <c r="M194" s="803">
        <f t="shared" si="266"/>
        <v>0.02</v>
      </c>
    </row>
    <row r="195" spans="1:13">
      <c r="A195" s="790" t="s">
        <v>131</v>
      </c>
      <c r="B195" s="790" t="s">
        <v>1148</v>
      </c>
      <c r="C195" s="804">
        <f t="shared" si="256"/>
        <v>0.4</v>
      </c>
      <c r="D195" s="804">
        <f t="shared" si="257"/>
        <v>0.5</v>
      </c>
      <c r="E195" s="804">
        <f t="shared" si="258"/>
        <v>0.04</v>
      </c>
      <c r="F195" s="804">
        <f t="shared" si="259"/>
        <v>0.06</v>
      </c>
      <c r="G195" s="821">
        <f t="shared" si="260"/>
        <v>0</v>
      </c>
      <c r="H195" s="814">
        <f t="shared" si="261"/>
        <v>0.12</v>
      </c>
      <c r="I195" s="804">
        <f t="shared" si="262"/>
        <v>0.68</v>
      </c>
      <c r="J195" s="804">
        <f t="shared" si="263"/>
        <v>0.1</v>
      </c>
      <c r="K195" s="804">
        <f t="shared" si="264"/>
        <v>0.04</v>
      </c>
      <c r="L195" s="804">
        <f t="shared" si="265"/>
        <v>0.04</v>
      </c>
      <c r="M195" s="804">
        <f t="shared" si="266"/>
        <v>0.02</v>
      </c>
    </row>
    <row r="196" spans="1:13">
      <c r="A196" s="789" t="s">
        <v>133</v>
      </c>
      <c r="B196" s="789" t="s">
        <v>1147</v>
      </c>
      <c r="C196" s="803">
        <f t="shared" si="256"/>
        <v>0.30172413793103448</v>
      </c>
      <c r="D196" s="803">
        <f t="shared" si="257"/>
        <v>0.52586206896551724</v>
      </c>
      <c r="E196" s="803">
        <f t="shared" si="258"/>
        <v>0.12931034482758622</v>
      </c>
      <c r="F196" s="803">
        <f t="shared" si="259"/>
        <v>4.3103448275862072E-2</v>
      </c>
      <c r="G196" s="820">
        <f t="shared" si="260"/>
        <v>0</v>
      </c>
      <c r="H196" s="813">
        <f t="shared" si="261"/>
        <v>0.14655172413793102</v>
      </c>
      <c r="I196" s="803">
        <f t="shared" si="262"/>
        <v>0.45689655172413796</v>
      </c>
      <c r="J196" s="803">
        <f t="shared" si="263"/>
        <v>0.22413793103448276</v>
      </c>
      <c r="K196" s="803">
        <f t="shared" si="264"/>
        <v>0.12931034482758622</v>
      </c>
      <c r="L196" s="803">
        <f t="shared" si="265"/>
        <v>3.4482758620689655E-2</v>
      </c>
      <c r="M196" s="803">
        <f t="shared" si="266"/>
        <v>8.6206896551724137E-3</v>
      </c>
    </row>
    <row r="197" spans="1:13">
      <c r="A197" s="790" t="s">
        <v>226</v>
      </c>
      <c r="B197" s="790" t="s">
        <v>1148</v>
      </c>
      <c r="C197" s="804">
        <f t="shared" si="256"/>
        <v>0.4</v>
      </c>
      <c r="D197" s="804">
        <f t="shared" si="257"/>
        <v>0.5</v>
      </c>
      <c r="E197" s="804">
        <f t="shared" si="258"/>
        <v>0.04</v>
      </c>
      <c r="F197" s="804">
        <f t="shared" si="259"/>
        <v>0.06</v>
      </c>
      <c r="G197" s="821">
        <f t="shared" si="260"/>
        <v>0</v>
      </c>
      <c r="H197" s="814">
        <f t="shared" si="261"/>
        <v>0.12</v>
      </c>
      <c r="I197" s="804">
        <f t="shared" si="262"/>
        <v>0.68</v>
      </c>
      <c r="J197" s="804">
        <f t="shared" si="263"/>
        <v>0.1</v>
      </c>
      <c r="K197" s="804">
        <f t="shared" si="264"/>
        <v>0.04</v>
      </c>
      <c r="L197" s="804">
        <f t="shared" si="265"/>
        <v>0.04</v>
      </c>
      <c r="M197" s="804">
        <f t="shared" si="266"/>
        <v>0.02</v>
      </c>
    </row>
    <row r="198" spans="1:13">
      <c r="A198" s="789" t="s">
        <v>197</v>
      </c>
      <c r="B198" s="789" t="s">
        <v>197</v>
      </c>
      <c r="C198" s="803">
        <f t="shared" si="256"/>
        <v>0.05</v>
      </c>
      <c r="D198" s="803">
        <f t="shared" si="257"/>
        <v>0.95</v>
      </c>
      <c r="E198" s="803">
        <f t="shared" si="258"/>
        <v>0</v>
      </c>
      <c r="F198" s="803">
        <f t="shared" si="259"/>
        <v>0</v>
      </c>
      <c r="G198" s="820">
        <f t="shared" si="260"/>
        <v>0</v>
      </c>
      <c r="H198" s="813">
        <f t="shared" si="261"/>
        <v>0</v>
      </c>
      <c r="I198" s="803">
        <f t="shared" si="262"/>
        <v>0.05</v>
      </c>
      <c r="J198" s="803">
        <f t="shared" si="263"/>
        <v>0.95</v>
      </c>
      <c r="K198" s="803">
        <f t="shared" si="264"/>
        <v>0</v>
      </c>
      <c r="L198" s="803">
        <f t="shared" si="265"/>
        <v>0</v>
      </c>
      <c r="M198" s="803">
        <f t="shared" si="266"/>
        <v>0</v>
      </c>
    </row>
    <row r="199" spans="1:13">
      <c r="A199" s="790" t="s">
        <v>126</v>
      </c>
      <c r="B199" s="790" t="s">
        <v>1147</v>
      </c>
      <c r="C199" s="804">
        <f t="shared" si="256"/>
        <v>0.30172413793103448</v>
      </c>
      <c r="D199" s="804">
        <f t="shared" si="257"/>
        <v>0.52586206896551724</v>
      </c>
      <c r="E199" s="804">
        <f t="shared" si="258"/>
        <v>0.12931034482758622</v>
      </c>
      <c r="F199" s="804">
        <f t="shared" si="259"/>
        <v>4.3103448275862072E-2</v>
      </c>
      <c r="G199" s="821">
        <f t="shared" si="260"/>
        <v>0</v>
      </c>
      <c r="H199" s="814">
        <f t="shared" si="261"/>
        <v>0.14655172413793102</v>
      </c>
      <c r="I199" s="804">
        <f t="shared" si="262"/>
        <v>0.45689655172413796</v>
      </c>
      <c r="J199" s="804">
        <f t="shared" si="263"/>
        <v>0.22413793103448276</v>
      </c>
      <c r="K199" s="804">
        <f t="shared" si="264"/>
        <v>0.12931034482758622</v>
      </c>
      <c r="L199" s="804">
        <f t="shared" si="265"/>
        <v>3.4482758620689655E-2</v>
      </c>
      <c r="M199" s="804">
        <f t="shared" si="266"/>
        <v>8.6206896551724137E-3</v>
      </c>
    </row>
    <row r="200" spans="1:13">
      <c r="A200" s="789" t="s">
        <v>127</v>
      </c>
      <c r="B200" s="789" t="s">
        <v>1147</v>
      </c>
      <c r="C200" s="803">
        <f t="shared" si="256"/>
        <v>0.30172413793103448</v>
      </c>
      <c r="D200" s="803">
        <f t="shared" si="257"/>
        <v>0.52586206896551724</v>
      </c>
      <c r="E200" s="803">
        <f t="shared" si="258"/>
        <v>0.12931034482758622</v>
      </c>
      <c r="F200" s="803">
        <f t="shared" si="259"/>
        <v>4.3103448275862072E-2</v>
      </c>
      <c r="G200" s="820">
        <f t="shared" si="260"/>
        <v>0</v>
      </c>
      <c r="H200" s="813">
        <f t="shared" si="261"/>
        <v>0.14655172413793102</v>
      </c>
      <c r="I200" s="803">
        <f t="shared" si="262"/>
        <v>0.45689655172413796</v>
      </c>
      <c r="J200" s="803">
        <f t="shared" si="263"/>
        <v>0.22413793103448276</v>
      </c>
      <c r="K200" s="803">
        <f t="shared" si="264"/>
        <v>0.12931034482758622</v>
      </c>
      <c r="L200" s="803">
        <f t="shared" si="265"/>
        <v>3.4482758620689655E-2</v>
      </c>
      <c r="M200" s="803">
        <f t="shared" si="266"/>
        <v>8.6206896551724137E-3</v>
      </c>
    </row>
    <row r="201" spans="1:13">
      <c r="A201" s="790" t="s">
        <v>128</v>
      </c>
      <c r="B201" s="790" t="s">
        <v>1147</v>
      </c>
      <c r="C201" s="804">
        <f t="shared" si="256"/>
        <v>0.30172413793103448</v>
      </c>
      <c r="D201" s="804">
        <f t="shared" si="257"/>
        <v>0.52586206896551724</v>
      </c>
      <c r="E201" s="804">
        <f t="shared" si="258"/>
        <v>0.12931034482758622</v>
      </c>
      <c r="F201" s="804">
        <f t="shared" si="259"/>
        <v>4.3103448275862072E-2</v>
      </c>
      <c r="G201" s="821">
        <f t="shared" si="260"/>
        <v>0</v>
      </c>
      <c r="H201" s="814">
        <f t="shared" si="261"/>
        <v>0.14655172413793102</v>
      </c>
      <c r="I201" s="804">
        <f t="shared" si="262"/>
        <v>0.45689655172413796</v>
      </c>
      <c r="J201" s="804">
        <f t="shared" si="263"/>
        <v>0.22413793103448276</v>
      </c>
      <c r="K201" s="804">
        <f t="shared" si="264"/>
        <v>0.12931034482758622</v>
      </c>
      <c r="L201" s="804">
        <f t="shared" si="265"/>
        <v>3.4482758620689655E-2</v>
      </c>
      <c r="M201" s="804">
        <f t="shared" si="266"/>
        <v>8.6206896551724137E-3</v>
      </c>
    </row>
    <row r="202" spans="1:13">
      <c r="A202" s="789" t="s">
        <v>227</v>
      </c>
      <c r="B202" s="789" t="s">
        <v>1149</v>
      </c>
      <c r="C202" s="803">
        <f t="shared" si="256"/>
        <v>0.21153846153846154</v>
      </c>
      <c r="D202" s="803">
        <f t="shared" si="257"/>
        <v>0.55769230769230771</v>
      </c>
      <c r="E202" s="803">
        <f t="shared" si="258"/>
        <v>0.19230769230769232</v>
      </c>
      <c r="F202" s="803">
        <f t="shared" si="259"/>
        <v>3.8461538461538464E-2</v>
      </c>
      <c r="G202" s="820">
        <f t="shared" si="260"/>
        <v>0</v>
      </c>
      <c r="H202" s="813">
        <f t="shared" si="261"/>
        <v>7.6923076923076927E-2</v>
      </c>
      <c r="I202" s="803">
        <f t="shared" si="262"/>
        <v>0.34615384615384615</v>
      </c>
      <c r="J202" s="803">
        <f t="shared" si="263"/>
        <v>0.34615384615384615</v>
      </c>
      <c r="K202" s="803">
        <f t="shared" si="264"/>
        <v>0.19230769230769232</v>
      </c>
      <c r="L202" s="803">
        <f t="shared" si="265"/>
        <v>3.8461538461538464E-2</v>
      </c>
      <c r="M202" s="803">
        <f t="shared" si="266"/>
        <v>0</v>
      </c>
    </row>
    <row r="203" spans="1:13">
      <c r="A203" s="790" t="s">
        <v>134</v>
      </c>
      <c r="B203" s="790" t="s">
        <v>1149</v>
      </c>
      <c r="C203" s="804">
        <f t="shared" si="256"/>
        <v>0.21153846153846154</v>
      </c>
      <c r="D203" s="804">
        <f t="shared" si="257"/>
        <v>0.55769230769230771</v>
      </c>
      <c r="E203" s="804">
        <f t="shared" si="258"/>
        <v>0.19230769230769232</v>
      </c>
      <c r="F203" s="804">
        <f t="shared" si="259"/>
        <v>3.8461538461538464E-2</v>
      </c>
      <c r="G203" s="821">
        <f t="shared" si="260"/>
        <v>0</v>
      </c>
      <c r="H203" s="814">
        <f t="shared" si="261"/>
        <v>7.6923076923076927E-2</v>
      </c>
      <c r="I203" s="804">
        <f t="shared" si="262"/>
        <v>0.34615384615384615</v>
      </c>
      <c r="J203" s="804">
        <f t="shared" si="263"/>
        <v>0.34615384615384615</v>
      </c>
      <c r="K203" s="804">
        <f t="shared" si="264"/>
        <v>0.19230769230769232</v>
      </c>
      <c r="L203" s="804">
        <f t="shared" si="265"/>
        <v>3.8461538461538464E-2</v>
      </c>
      <c r="M203" s="804">
        <f t="shared" si="266"/>
        <v>0</v>
      </c>
    </row>
    <row r="204" spans="1:13">
      <c r="A204" s="789" t="s">
        <v>168</v>
      </c>
      <c r="B204" s="789" t="s">
        <v>1149</v>
      </c>
      <c r="C204" s="803">
        <f t="shared" si="256"/>
        <v>0.21153846153846154</v>
      </c>
      <c r="D204" s="803">
        <f t="shared" si="257"/>
        <v>0.55769230769230771</v>
      </c>
      <c r="E204" s="803">
        <f t="shared" si="258"/>
        <v>0.19230769230769232</v>
      </c>
      <c r="F204" s="803">
        <f t="shared" si="259"/>
        <v>3.8461538461538464E-2</v>
      </c>
      <c r="G204" s="820">
        <f t="shared" si="260"/>
        <v>0</v>
      </c>
      <c r="H204" s="813">
        <f t="shared" si="261"/>
        <v>7.6923076923076927E-2</v>
      </c>
      <c r="I204" s="803">
        <f t="shared" si="262"/>
        <v>0.34615384615384615</v>
      </c>
      <c r="J204" s="803">
        <f t="shared" si="263"/>
        <v>0.34615384615384615</v>
      </c>
      <c r="K204" s="803">
        <f t="shared" si="264"/>
        <v>0.19230769230769232</v>
      </c>
      <c r="L204" s="803">
        <f t="shared" si="265"/>
        <v>3.8461538461538464E-2</v>
      </c>
      <c r="M204" s="803">
        <f t="shared" si="266"/>
        <v>0</v>
      </c>
    </row>
    <row r="205" spans="1:13">
      <c r="A205" s="790" t="s">
        <v>228</v>
      </c>
      <c r="B205" s="790" t="s">
        <v>1147</v>
      </c>
      <c r="C205" s="804">
        <f t="shared" si="256"/>
        <v>0.30172413793103448</v>
      </c>
      <c r="D205" s="804">
        <f t="shared" si="257"/>
        <v>0.52586206896551724</v>
      </c>
      <c r="E205" s="804">
        <f t="shared" si="258"/>
        <v>0.12931034482758622</v>
      </c>
      <c r="F205" s="804">
        <f t="shared" si="259"/>
        <v>4.3103448275862072E-2</v>
      </c>
      <c r="G205" s="821">
        <f t="shared" si="260"/>
        <v>0</v>
      </c>
      <c r="H205" s="814">
        <f t="shared" si="261"/>
        <v>0.14655172413793102</v>
      </c>
      <c r="I205" s="804">
        <f t="shared" si="262"/>
        <v>0.45689655172413796</v>
      </c>
      <c r="J205" s="804">
        <f t="shared" si="263"/>
        <v>0.22413793103448276</v>
      </c>
      <c r="K205" s="804">
        <f t="shared" si="264"/>
        <v>0.12931034482758622</v>
      </c>
      <c r="L205" s="804">
        <f t="shared" si="265"/>
        <v>3.4482758620689655E-2</v>
      </c>
      <c r="M205" s="804">
        <f t="shared" si="266"/>
        <v>8.6206896551724137E-3</v>
      </c>
    </row>
    <row r="206" spans="1:13">
      <c r="A206" s="789" t="s">
        <v>229</v>
      </c>
      <c r="B206" s="789" t="s">
        <v>1147</v>
      </c>
      <c r="C206" s="803">
        <f t="shared" si="256"/>
        <v>0.30172413793103448</v>
      </c>
      <c r="D206" s="803">
        <f t="shared" si="257"/>
        <v>0.52586206896551724</v>
      </c>
      <c r="E206" s="803">
        <f t="shared" si="258"/>
        <v>0.12931034482758622</v>
      </c>
      <c r="F206" s="803">
        <f t="shared" si="259"/>
        <v>4.3103448275862072E-2</v>
      </c>
      <c r="G206" s="820">
        <f t="shared" si="260"/>
        <v>0</v>
      </c>
      <c r="H206" s="813">
        <f t="shared" si="261"/>
        <v>0.14655172413793102</v>
      </c>
      <c r="I206" s="803">
        <f t="shared" si="262"/>
        <v>0.45689655172413796</v>
      </c>
      <c r="J206" s="803">
        <f t="shared" si="263"/>
        <v>0.22413793103448276</v>
      </c>
      <c r="K206" s="803">
        <f t="shared" si="264"/>
        <v>0.12931034482758622</v>
      </c>
      <c r="L206" s="803">
        <f t="shared" si="265"/>
        <v>3.4482758620689655E-2</v>
      </c>
      <c r="M206" s="803">
        <f t="shared" si="266"/>
        <v>8.6206896551724137E-3</v>
      </c>
    </row>
    <row r="207" spans="1:13">
      <c r="A207" s="790" t="s">
        <v>230</v>
      </c>
      <c r="B207" s="790" t="s">
        <v>1147</v>
      </c>
      <c r="C207" s="804">
        <f t="shared" si="256"/>
        <v>0.30172413793103448</v>
      </c>
      <c r="D207" s="804">
        <f t="shared" si="257"/>
        <v>0.52586206896551724</v>
      </c>
      <c r="E207" s="804">
        <f t="shared" si="258"/>
        <v>0.12931034482758622</v>
      </c>
      <c r="F207" s="804">
        <f t="shared" si="259"/>
        <v>4.3103448275862072E-2</v>
      </c>
      <c r="G207" s="821">
        <f t="shared" si="260"/>
        <v>0</v>
      </c>
      <c r="H207" s="814">
        <f t="shared" si="261"/>
        <v>0.14655172413793102</v>
      </c>
      <c r="I207" s="804">
        <f t="shared" si="262"/>
        <v>0.45689655172413796</v>
      </c>
      <c r="J207" s="804">
        <f t="shared" si="263"/>
        <v>0.22413793103448276</v>
      </c>
      <c r="K207" s="804">
        <f t="shared" si="264"/>
        <v>0.12931034482758622</v>
      </c>
      <c r="L207" s="804">
        <f t="shared" si="265"/>
        <v>3.4482758620689655E-2</v>
      </c>
      <c r="M207" s="804">
        <f t="shared" si="266"/>
        <v>8.6206896551724137E-3</v>
      </c>
    </row>
    <row r="208" spans="1:13">
      <c r="A208" s="789" t="s">
        <v>123</v>
      </c>
      <c r="B208" s="789" t="s">
        <v>1149</v>
      </c>
      <c r="C208" s="803">
        <f t="shared" si="256"/>
        <v>0.21153846153846154</v>
      </c>
      <c r="D208" s="803">
        <f t="shared" si="257"/>
        <v>0.55769230769230771</v>
      </c>
      <c r="E208" s="803">
        <f t="shared" si="258"/>
        <v>0.19230769230769232</v>
      </c>
      <c r="F208" s="803">
        <f t="shared" si="259"/>
        <v>3.8461538461538464E-2</v>
      </c>
      <c r="G208" s="820">
        <f t="shared" si="260"/>
        <v>0</v>
      </c>
      <c r="H208" s="813">
        <f t="shared" si="261"/>
        <v>7.6923076923076927E-2</v>
      </c>
      <c r="I208" s="803">
        <f t="shared" si="262"/>
        <v>0.34615384615384615</v>
      </c>
      <c r="J208" s="803">
        <f t="shared" si="263"/>
        <v>0.34615384615384615</v>
      </c>
      <c r="K208" s="803">
        <f t="shared" si="264"/>
        <v>0.19230769230769232</v>
      </c>
      <c r="L208" s="803">
        <f t="shared" si="265"/>
        <v>3.8461538461538464E-2</v>
      </c>
      <c r="M208" s="803">
        <f t="shared" si="266"/>
        <v>0</v>
      </c>
    </row>
    <row r="209" spans="1:13">
      <c r="A209" s="790" t="s">
        <v>124</v>
      </c>
      <c r="B209" s="790" t="s">
        <v>1148</v>
      </c>
      <c r="C209" s="804">
        <f t="shared" si="256"/>
        <v>0.4</v>
      </c>
      <c r="D209" s="804">
        <f t="shared" si="257"/>
        <v>0.5</v>
      </c>
      <c r="E209" s="804">
        <f t="shared" si="258"/>
        <v>0.04</v>
      </c>
      <c r="F209" s="804">
        <f t="shared" si="259"/>
        <v>0.06</v>
      </c>
      <c r="G209" s="821">
        <f t="shared" si="260"/>
        <v>0</v>
      </c>
      <c r="H209" s="814">
        <f t="shared" si="261"/>
        <v>0.12</v>
      </c>
      <c r="I209" s="804">
        <f t="shared" si="262"/>
        <v>0.68</v>
      </c>
      <c r="J209" s="804">
        <f t="shared" si="263"/>
        <v>0.1</v>
      </c>
      <c r="K209" s="804">
        <f t="shared" si="264"/>
        <v>0.04</v>
      </c>
      <c r="L209" s="804">
        <f t="shared" si="265"/>
        <v>0.04</v>
      </c>
      <c r="M209" s="804">
        <f t="shared" si="266"/>
        <v>0.02</v>
      </c>
    </row>
    <row r="210" spans="1:13">
      <c r="A210" s="789" t="s">
        <v>125</v>
      </c>
      <c r="B210" s="789" t="s">
        <v>125</v>
      </c>
      <c r="C210" s="803">
        <f t="shared" si="256"/>
        <v>0.2857142857142857</v>
      </c>
      <c r="D210" s="803">
        <f t="shared" si="257"/>
        <v>0.5714285714285714</v>
      </c>
      <c r="E210" s="803">
        <f t="shared" si="258"/>
        <v>0.14285714285714285</v>
      </c>
      <c r="F210" s="803">
        <f t="shared" si="259"/>
        <v>0</v>
      </c>
      <c r="G210" s="820">
        <f t="shared" si="260"/>
        <v>0</v>
      </c>
      <c r="H210" s="813">
        <f t="shared" si="261"/>
        <v>0.14285714285714285</v>
      </c>
      <c r="I210" s="803">
        <f t="shared" si="262"/>
        <v>0.42857142857142855</v>
      </c>
      <c r="J210" s="803">
        <f t="shared" si="263"/>
        <v>0.2857142857142857</v>
      </c>
      <c r="K210" s="803">
        <f t="shared" si="264"/>
        <v>0.14285714285714285</v>
      </c>
      <c r="L210" s="803">
        <f t="shared" si="265"/>
        <v>0</v>
      </c>
      <c r="M210" s="803">
        <f t="shared" si="266"/>
        <v>0</v>
      </c>
    </row>
    <row r="211" spans="1:13">
      <c r="A211" s="790" t="s">
        <v>181</v>
      </c>
      <c r="B211" s="790" t="s">
        <v>181</v>
      </c>
      <c r="C211" s="804">
        <f t="shared" si="256"/>
        <v>0.21428571428571427</v>
      </c>
      <c r="D211" s="804">
        <f t="shared" si="257"/>
        <v>0.3571428571428571</v>
      </c>
      <c r="E211" s="804">
        <f t="shared" si="258"/>
        <v>0.2857142857142857</v>
      </c>
      <c r="F211" s="804">
        <f t="shared" si="259"/>
        <v>0.14285714285714285</v>
      </c>
      <c r="G211" s="821">
        <f t="shared" si="260"/>
        <v>0</v>
      </c>
      <c r="H211" s="814">
        <f t="shared" si="261"/>
        <v>0</v>
      </c>
      <c r="I211" s="804">
        <f t="shared" si="262"/>
        <v>0.42857142857142855</v>
      </c>
      <c r="J211" s="804">
        <f t="shared" si="263"/>
        <v>0.14285714285714285</v>
      </c>
      <c r="K211" s="804">
        <f t="shared" si="264"/>
        <v>0.2857142857142857</v>
      </c>
      <c r="L211" s="804">
        <f t="shared" si="265"/>
        <v>0.14285714285714285</v>
      </c>
      <c r="M211" s="804">
        <f t="shared" si="266"/>
        <v>0</v>
      </c>
    </row>
    <row r="212" spans="1:13">
      <c r="A212" s="789" t="s">
        <v>779</v>
      </c>
      <c r="B212" s="789" t="s">
        <v>1149</v>
      </c>
      <c r="C212" s="803">
        <f t="shared" si="256"/>
        <v>0.21153846153846154</v>
      </c>
      <c r="D212" s="803">
        <f t="shared" si="257"/>
        <v>0.55769230769230771</v>
      </c>
      <c r="E212" s="803">
        <f t="shared" si="258"/>
        <v>0.19230769230769232</v>
      </c>
      <c r="F212" s="803">
        <f t="shared" si="259"/>
        <v>3.8461538461538464E-2</v>
      </c>
      <c r="G212" s="820">
        <f t="shared" si="260"/>
        <v>0</v>
      </c>
      <c r="H212" s="813">
        <f t="shared" si="261"/>
        <v>7.6923076923076927E-2</v>
      </c>
      <c r="I212" s="803">
        <f t="shared" si="262"/>
        <v>0.34615384615384615</v>
      </c>
      <c r="J212" s="803">
        <f t="shared" si="263"/>
        <v>0.34615384615384615</v>
      </c>
      <c r="K212" s="803">
        <f t="shared" si="264"/>
        <v>0.19230769230769232</v>
      </c>
      <c r="L212" s="803">
        <f t="shared" si="265"/>
        <v>3.8461538461538464E-2</v>
      </c>
      <c r="M212" s="803">
        <f t="shared" si="266"/>
        <v>0</v>
      </c>
    </row>
    <row r="213" spans="1:13">
      <c r="A213" s="790" t="s">
        <v>129</v>
      </c>
      <c r="B213" s="790" t="s">
        <v>1147</v>
      </c>
      <c r="C213" s="804">
        <f t="shared" si="256"/>
        <v>0.30172413793103448</v>
      </c>
      <c r="D213" s="804">
        <f t="shared" si="257"/>
        <v>0.52586206896551724</v>
      </c>
      <c r="E213" s="804">
        <f t="shared" si="258"/>
        <v>0.12931034482758622</v>
      </c>
      <c r="F213" s="804">
        <f t="shared" si="259"/>
        <v>4.3103448275862072E-2</v>
      </c>
      <c r="G213" s="821">
        <f t="shared" si="260"/>
        <v>0</v>
      </c>
      <c r="H213" s="814">
        <f t="shared" si="261"/>
        <v>0.14655172413793102</v>
      </c>
      <c r="I213" s="804">
        <f t="shared" si="262"/>
        <v>0.45689655172413796</v>
      </c>
      <c r="J213" s="804">
        <f t="shared" si="263"/>
        <v>0.22413793103448276</v>
      </c>
      <c r="K213" s="804">
        <f t="shared" si="264"/>
        <v>0.12931034482758622</v>
      </c>
      <c r="L213" s="804">
        <f t="shared" si="265"/>
        <v>3.4482758620689655E-2</v>
      </c>
      <c r="M213" s="804">
        <f t="shared" si="266"/>
        <v>8.6206896551724137E-3</v>
      </c>
    </row>
    <row r="214" spans="1:13">
      <c r="A214" s="789" t="s">
        <v>130</v>
      </c>
      <c r="B214" s="789" t="s">
        <v>1147</v>
      </c>
      <c r="C214" s="803">
        <f t="shared" si="256"/>
        <v>0.30172413793103448</v>
      </c>
      <c r="D214" s="803">
        <f t="shared" si="257"/>
        <v>0.52586206896551724</v>
      </c>
      <c r="E214" s="803">
        <f t="shared" si="258"/>
        <v>0.12931034482758622</v>
      </c>
      <c r="F214" s="803">
        <f t="shared" si="259"/>
        <v>4.3103448275862072E-2</v>
      </c>
      <c r="G214" s="820">
        <f t="shared" si="260"/>
        <v>0</v>
      </c>
      <c r="H214" s="813">
        <f t="shared" si="261"/>
        <v>0.14655172413793102</v>
      </c>
      <c r="I214" s="803">
        <f t="shared" si="262"/>
        <v>0.45689655172413796</v>
      </c>
      <c r="J214" s="803">
        <f t="shared" si="263"/>
        <v>0.22413793103448276</v>
      </c>
      <c r="K214" s="803">
        <f t="shared" si="264"/>
        <v>0.12931034482758622</v>
      </c>
      <c r="L214" s="803">
        <f t="shared" si="265"/>
        <v>3.4482758620689655E-2</v>
      </c>
      <c r="M214" s="803">
        <f t="shared" si="266"/>
        <v>8.6206896551724137E-3</v>
      </c>
    </row>
    <row r="215" spans="1:13">
      <c r="A215" s="790" t="s">
        <v>132</v>
      </c>
      <c r="B215" s="790" t="s">
        <v>1147</v>
      </c>
      <c r="C215" s="804">
        <f t="shared" si="256"/>
        <v>0.30172413793103448</v>
      </c>
      <c r="D215" s="804">
        <f t="shared" si="257"/>
        <v>0.52586206896551724</v>
      </c>
      <c r="E215" s="804">
        <f t="shared" si="258"/>
        <v>0.12931034482758622</v>
      </c>
      <c r="F215" s="804">
        <f t="shared" si="259"/>
        <v>4.3103448275862072E-2</v>
      </c>
      <c r="G215" s="821">
        <f t="shared" si="260"/>
        <v>0</v>
      </c>
      <c r="H215" s="814">
        <f t="shared" si="261"/>
        <v>0.14655172413793102</v>
      </c>
      <c r="I215" s="804">
        <f t="shared" si="262"/>
        <v>0.45689655172413796</v>
      </c>
      <c r="J215" s="804">
        <f t="shared" si="263"/>
        <v>0.22413793103448276</v>
      </c>
      <c r="K215" s="804">
        <f t="shared" si="264"/>
        <v>0.12931034482758622</v>
      </c>
      <c r="L215" s="804">
        <f t="shared" si="265"/>
        <v>3.4482758620689655E-2</v>
      </c>
      <c r="M215" s="804">
        <f t="shared" si="266"/>
        <v>8.6206896551724137E-3</v>
      </c>
    </row>
    <row r="216" spans="1:13">
      <c r="A216" s="789" t="s">
        <v>231</v>
      </c>
      <c r="B216" s="789" t="s">
        <v>1147</v>
      </c>
      <c r="C216" s="803">
        <f t="shared" si="256"/>
        <v>0.30172413793103448</v>
      </c>
      <c r="D216" s="803">
        <f t="shared" si="257"/>
        <v>0.52586206896551724</v>
      </c>
      <c r="E216" s="803">
        <f t="shared" si="258"/>
        <v>0.12931034482758622</v>
      </c>
      <c r="F216" s="803">
        <f t="shared" si="259"/>
        <v>4.3103448275862072E-2</v>
      </c>
      <c r="G216" s="820">
        <f t="shared" si="260"/>
        <v>0</v>
      </c>
      <c r="H216" s="813">
        <f t="shared" si="261"/>
        <v>0.14655172413793102</v>
      </c>
      <c r="I216" s="803">
        <f t="shared" si="262"/>
        <v>0.45689655172413796</v>
      </c>
      <c r="J216" s="803">
        <f t="shared" si="263"/>
        <v>0.22413793103448276</v>
      </c>
      <c r="K216" s="803">
        <f t="shared" si="264"/>
        <v>0.12931034482758622</v>
      </c>
      <c r="L216" s="803">
        <f t="shared" si="265"/>
        <v>3.4482758620689655E-2</v>
      </c>
      <c r="M216" s="803">
        <f t="shared" si="266"/>
        <v>8.6206896551724137E-3</v>
      </c>
    </row>
    <row r="217" spans="1:13">
      <c r="A217" s="792" t="s">
        <v>135</v>
      </c>
      <c r="B217" s="792" t="s">
        <v>1149</v>
      </c>
      <c r="C217" s="806">
        <f t="shared" si="256"/>
        <v>0.21153846153846154</v>
      </c>
      <c r="D217" s="806">
        <f t="shared" si="257"/>
        <v>0.55769230769230771</v>
      </c>
      <c r="E217" s="806">
        <f t="shared" si="258"/>
        <v>0.19230769230769232</v>
      </c>
      <c r="F217" s="806">
        <f t="shared" si="259"/>
        <v>3.8461538461538464E-2</v>
      </c>
      <c r="G217" s="823">
        <f t="shared" si="260"/>
        <v>0</v>
      </c>
      <c r="H217" s="816">
        <f t="shared" si="261"/>
        <v>7.6923076923076927E-2</v>
      </c>
      <c r="I217" s="806">
        <f t="shared" si="262"/>
        <v>0.34615384615384615</v>
      </c>
      <c r="J217" s="806">
        <f t="shared" si="263"/>
        <v>0.34615384615384615</v>
      </c>
      <c r="K217" s="806">
        <f t="shared" si="264"/>
        <v>0.19230769230769232</v>
      </c>
      <c r="L217" s="806">
        <f t="shared" si="265"/>
        <v>3.8461538461538464E-2</v>
      </c>
      <c r="M217" s="806">
        <f t="shared" si="266"/>
        <v>0</v>
      </c>
    </row>
    <row r="218" spans="1:13">
      <c r="A218" s="789" t="s">
        <v>812</v>
      </c>
      <c r="B218" s="789" t="s">
        <v>1147</v>
      </c>
      <c r="C218" s="803">
        <f t="shared" si="256"/>
        <v>0.30172413793103448</v>
      </c>
      <c r="D218" s="803">
        <f t="shared" si="257"/>
        <v>0.52586206896551724</v>
      </c>
      <c r="E218" s="803">
        <f t="shared" si="258"/>
        <v>0.12931034482758622</v>
      </c>
      <c r="F218" s="803">
        <f t="shared" si="259"/>
        <v>4.3103448275862072E-2</v>
      </c>
      <c r="G218" s="820">
        <f t="shared" si="260"/>
        <v>0</v>
      </c>
      <c r="H218" s="813">
        <f t="shared" si="261"/>
        <v>0.14655172413793102</v>
      </c>
      <c r="I218" s="803">
        <f t="shared" si="262"/>
        <v>0.45689655172413796</v>
      </c>
      <c r="J218" s="803">
        <f t="shared" si="263"/>
        <v>0.22413793103448276</v>
      </c>
      <c r="K218" s="803">
        <f t="shared" si="264"/>
        <v>0.12931034482758622</v>
      </c>
      <c r="L218" s="803">
        <f t="shared" si="265"/>
        <v>3.4482758620689655E-2</v>
      </c>
      <c r="M218" s="803">
        <f t="shared" si="266"/>
        <v>8.6206896551724137E-3</v>
      </c>
    </row>
    <row r="219" spans="1:13">
      <c r="A219" s="792" t="s">
        <v>232</v>
      </c>
      <c r="B219" s="792" t="s">
        <v>283</v>
      </c>
      <c r="C219" s="806">
        <f t="shared" si="256"/>
        <v>0</v>
      </c>
      <c r="D219" s="806">
        <f t="shared" si="257"/>
        <v>0</v>
      </c>
      <c r="E219" s="806">
        <f t="shared" si="258"/>
        <v>0</v>
      </c>
      <c r="F219" s="806">
        <f t="shared" si="259"/>
        <v>0</v>
      </c>
      <c r="G219" s="823">
        <f t="shared" si="260"/>
        <v>0</v>
      </c>
      <c r="H219" s="816">
        <f t="shared" si="261"/>
        <v>0</v>
      </c>
      <c r="I219" s="806">
        <f t="shared" si="262"/>
        <v>0</v>
      </c>
      <c r="J219" s="806">
        <f t="shared" si="263"/>
        <v>0</v>
      </c>
      <c r="K219" s="806">
        <f t="shared" si="264"/>
        <v>0</v>
      </c>
      <c r="L219" s="806">
        <f t="shared" si="265"/>
        <v>0</v>
      </c>
      <c r="M219" s="806">
        <f t="shared" si="266"/>
        <v>0</v>
      </c>
    </row>
    <row r="220" spans="1:13">
      <c r="A220" s="789" t="s">
        <v>138</v>
      </c>
      <c r="B220" s="789" t="s">
        <v>1148</v>
      </c>
      <c r="C220" s="803">
        <f t="shared" si="256"/>
        <v>0.4</v>
      </c>
      <c r="D220" s="803">
        <f t="shared" si="257"/>
        <v>0.5</v>
      </c>
      <c r="E220" s="803">
        <f t="shared" si="258"/>
        <v>0.04</v>
      </c>
      <c r="F220" s="803">
        <f t="shared" si="259"/>
        <v>0.06</v>
      </c>
      <c r="G220" s="820">
        <f t="shared" si="260"/>
        <v>0</v>
      </c>
      <c r="H220" s="813">
        <f t="shared" si="261"/>
        <v>0.12</v>
      </c>
      <c r="I220" s="803">
        <f t="shared" si="262"/>
        <v>0.68</v>
      </c>
      <c r="J220" s="803">
        <f t="shared" si="263"/>
        <v>0.1</v>
      </c>
      <c r="K220" s="803">
        <f t="shared" si="264"/>
        <v>0.04</v>
      </c>
      <c r="L220" s="803">
        <f t="shared" si="265"/>
        <v>0.04</v>
      </c>
      <c r="M220" s="803">
        <f t="shared" si="266"/>
        <v>0.02</v>
      </c>
    </row>
    <row r="221" spans="1:13">
      <c r="A221" s="790" t="s">
        <v>848</v>
      </c>
      <c r="B221" s="790" t="s">
        <v>1148</v>
      </c>
      <c r="C221" s="804">
        <f t="shared" si="256"/>
        <v>0.4</v>
      </c>
      <c r="D221" s="804">
        <f t="shared" si="257"/>
        <v>0.5</v>
      </c>
      <c r="E221" s="804">
        <f t="shared" si="258"/>
        <v>0.04</v>
      </c>
      <c r="F221" s="804">
        <f t="shared" si="259"/>
        <v>0.06</v>
      </c>
      <c r="G221" s="821">
        <f t="shared" si="260"/>
        <v>0</v>
      </c>
      <c r="H221" s="814">
        <f t="shared" si="261"/>
        <v>0.12</v>
      </c>
      <c r="I221" s="804">
        <f t="shared" si="262"/>
        <v>0.68</v>
      </c>
      <c r="J221" s="804">
        <f t="shared" si="263"/>
        <v>0.1</v>
      </c>
      <c r="K221" s="804">
        <f t="shared" si="264"/>
        <v>0.04</v>
      </c>
      <c r="L221" s="804">
        <f t="shared" si="265"/>
        <v>0.04</v>
      </c>
      <c r="M221" s="804">
        <f t="shared" si="266"/>
        <v>0.02</v>
      </c>
    </row>
    <row r="222" spans="1:13">
      <c r="A222" s="789" t="s">
        <v>381</v>
      </c>
      <c r="B222" s="789" t="s">
        <v>1147</v>
      </c>
      <c r="C222" s="803">
        <f t="shared" si="256"/>
        <v>0.30172413793103448</v>
      </c>
      <c r="D222" s="803">
        <f t="shared" si="257"/>
        <v>0.52586206896551724</v>
      </c>
      <c r="E222" s="803">
        <f t="shared" si="258"/>
        <v>0.12931034482758622</v>
      </c>
      <c r="F222" s="803">
        <f t="shared" si="259"/>
        <v>4.3103448275862072E-2</v>
      </c>
      <c r="G222" s="820">
        <f t="shared" si="260"/>
        <v>0</v>
      </c>
      <c r="H222" s="813">
        <f t="shared" si="261"/>
        <v>0.14655172413793102</v>
      </c>
      <c r="I222" s="803">
        <f t="shared" si="262"/>
        <v>0.45689655172413796</v>
      </c>
      <c r="J222" s="803">
        <f t="shared" si="263"/>
        <v>0.22413793103448276</v>
      </c>
      <c r="K222" s="803">
        <f t="shared" si="264"/>
        <v>0.12931034482758622</v>
      </c>
      <c r="L222" s="803">
        <f t="shared" si="265"/>
        <v>3.4482758620689655E-2</v>
      </c>
      <c r="M222" s="803">
        <f t="shared" si="266"/>
        <v>8.6206896551724137E-3</v>
      </c>
    </row>
    <row r="223" spans="1:13">
      <c r="A223" s="790" t="s">
        <v>136</v>
      </c>
      <c r="B223" s="790" t="s">
        <v>1147</v>
      </c>
      <c r="C223" s="804">
        <f t="shared" si="256"/>
        <v>0.30172413793103448</v>
      </c>
      <c r="D223" s="804">
        <f t="shared" si="257"/>
        <v>0.52586206896551724</v>
      </c>
      <c r="E223" s="804">
        <f t="shared" si="258"/>
        <v>0.12931034482758622</v>
      </c>
      <c r="F223" s="804">
        <f t="shared" si="259"/>
        <v>4.3103448275862072E-2</v>
      </c>
      <c r="G223" s="821">
        <f t="shared" si="260"/>
        <v>0</v>
      </c>
      <c r="H223" s="814">
        <f t="shared" si="261"/>
        <v>0.14655172413793102</v>
      </c>
      <c r="I223" s="804">
        <f t="shared" si="262"/>
        <v>0.45689655172413796</v>
      </c>
      <c r="J223" s="804">
        <f t="shared" si="263"/>
        <v>0.22413793103448276</v>
      </c>
      <c r="K223" s="804">
        <f t="shared" si="264"/>
        <v>0.12931034482758622</v>
      </c>
      <c r="L223" s="804">
        <f t="shared" si="265"/>
        <v>3.4482758620689655E-2</v>
      </c>
      <c r="M223" s="804">
        <f t="shared" si="266"/>
        <v>8.6206896551724137E-3</v>
      </c>
    </row>
    <row r="224" spans="1:13">
      <c r="A224" s="789" t="s">
        <v>137</v>
      </c>
      <c r="B224" s="789" t="s">
        <v>1147</v>
      </c>
      <c r="C224" s="803">
        <f t="shared" ref="C224:C238" si="267">VLOOKUP($B224,Results,17,FALSE)</f>
        <v>0.30172413793103448</v>
      </c>
      <c r="D224" s="803">
        <f t="shared" ref="D224:D238" si="268">VLOOKUP($B224,Results,18,FALSE)</f>
        <v>0.52586206896551724</v>
      </c>
      <c r="E224" s="803">
        <f t="shared" ref="E224:E238" si="269">VLOOKUP($B224,Results,19,FALSE)</f>
        <v>0.12931034482758622</v>
      </c>
      <c r="F224" s="803">
        <f t="shared" ref="F224:F238" si="270">VLOOKUP($B224,Results,20,FALSE)</f>
        <v>4.3103448275862072E-2</v>
      </c>
      <c r="G224" s="820">
        <f t="shared" ref="G224:G238" si="271">VLOOKUP($B224,Results,21,FALSE)</f>
        <v>0</v>
      </c>
      <c r="H224" s="813">
        <f t="shared" ref="H224:H238" si="272">VLOOKUP($B224,Results,16,FALSE)</f>
        <v>0.14655172413793102</v>
      </c>
      <c r="I224" s="803">
        <f t="shared" ref="I224:I238" si="273">VLOOKUP($B224,Results,11,FALSE)</f>
        <v>0.45689655172413796</v>
      </c>
      <c r="J224" s="803">
        <f t="shared" ref="J224:J238" si="274">VLOOKUP($B224,Results,12,FALSE)</f>
        <v>0.22413793103448276</v>
      </c>
      <c r="K224" s="803">
        <f t="shared" ref="K224:K238" si="275">VLOOKUP($B224,Results,13,FALSE)</f>
        <v>0.12931034482758622</v>
      </c>
      <c r="L224" s="803">
        <f t="shared" ref="L224:L238" si="276">VLOOKUP($B224,Results,14,FALSE)</f>
        <v>3.4482758620689655E-2</v>
      </c>
      <c r="M224" s="803">
        <f t="shared" ref="M224:M238" si="277">VLOOKUP($B224,Results,15,FALSE)</f>
        <v>8.6206896551724137E-3</v>
      </c>
    </row>
    <row r="225" spans="1:13">
      <c r="A225" s="793" t="s">
        <v>781</v>
      </c>
      <c r="B225" s="793" t="s">
        <v>1168</v>
      </c>
      <c r="C225" s="807">
        <f t="shared" si="267"/>
        <v>0.21153846153846154</v>
      </c>
      <c r="D225" s="807">
        <f t="shared" si="268"/>
        <v>0.53846153846153844</v>
      </c>
      <c r="E225" s="807">
        <f t="shared" si="269"/>
        <v>0.23076923076923078</v>
      </c>
      <c r="F225" s="807">
        <f t="shared" si="270"/>
        <v>1.9230769230769232E-2</v>
      </c>
      <c r="G225" s="824">
        <f t="shared" si="271"/>
        <v>0</v>
      </c>
      <c r="H225" s="817">
        <f t="shared" si="272"/>
        <v>0.15384615384615385</v>
      </c>
      <c r="I225" s="807">
        <f t="shared" si="273"/>
        <v>0.26923076923076922</v>
      </c>
      <c r="J225" s="807">
        <f t="shared" si="274"/>
        <v>0.32692307692307693</v>
      </c>
      <c r="K225" s="807">
        <f t="shared" si="275"/>
        <v>0.23076923076923078</v>
      </c>
      <c r="L225" s="807">
        <f t="shared" si="276"/>
        <v>1.9230769230769232E-2</v>
      </c>
      <c r="M225" s="807">
        <f t="shared" si="277"/>
        <v>0</v>
      </c>
    </row>
    <row r="226" spans="1:13">
      <c r="A226" s="794" t="s">
        <v>782</v>
      </c>
      <c r="B226" s="794" t="s">
        <v>1149</v>
      </c>
      <c r="C226" s="808">
        <f t="shared" si="267"/>
        <v>0.21153846153846154</v>
      </c>
      <c r="D226" s="808">
        <f t="shared" si="268"/>
        <v>0.55769230769230771</v>
      </c>
      <c r="E226" s="808">
        <f t="shared" si="269"/>
        <v>0.19230769230769232</v>
      </c>
      <c r="F226" s="808">
        <f t="shared" si="270"/>
        <v>3.8461538461538464E-2</v>
      </c>
      <c r="G226" s="825">
        <f t="shared" si="271"/>
        <v>0</v>
      </c>
      <c r="H226" s="818">
        <f t="shared" si="272"/>
        <v>7.6923076923076927E-2</v>
      </c>
      <c r="I226" s="808">
        <f t="shared" si="273"/>
        <v>0.34615384615384615</v>
      </c>
      <c r="J226" s="808">
        <f t="shared" si="274"/>
        <v>0.34615384615384615</v>
      </c>
      <c r="K226" s="808">
        <f t="shared" si="275"/>
        <v>0.19230769230769232</v>
      </c>
      <c r="L226" s="808">
        <f t="shared" si="276"/>
        <v>3.8461538461538464E-2</v>
      </c>
      <c r="M226" s="808">
        <f t="shared" si="277"/>
        <v>0</v>
      </c>
    </row>
    <row r="227" spans="1:13">
      <c r="A227" s="793" t="s">
        <v>783</v>
      </c>
      <c r="B227" s="793" t="s">
        <v>1151</v>
      </c>
      <c r="C227" s="807">
        <f t="shared" si="267"/>
        <v>0.2857142857142857</v>
      </c>
      <c r="D227" s="807">
        <f t="shared" si="268"/>
        <v>0.5714285714285714</v>
      </c>
      <c r="E227" s="807">
        <f t="shared" si="269"/>
        <v>7.1428571428571425E-2</v>
      </c>
      <c r="F227" s="807">
        <f t="shared" si="270"/>
        <v>7.1428571428571425E-2</v>
      </c>
      <c r="G227" s="824">
        <f t="shared" si="271"/>
        <v>0</v>
      </c>
      <c r="H227" s="817">
        <f t="shared" si="272"/>
        <v>0.21428571428571427</v>
      </c>
      <c r="I227" s="807">
        <f t="shared" si="273"/>
        <v>0.35714285714285715</v>
      </c>
      <c r="J227" s="807">
        <f t="shared" si="274"/>
        <v>0.2857142857142857</v>
      </c>
      <c r="K227" s="807">
        <f t="shared" si="275"/>
        <v>7.1428571428571425E-2</v>
      </c>
      <c r="L227" s="807">
        <f t="shared" si="276"/>
        <v>7.1428571428571425E-2</v>
      </c>
      <c r="M227" s="807">
        <f t="shared" si="277"/>
        <v>0</v>
      </c>
    </row>
    <row r="228" spans="1:13">
      <c r="A228" s="791" t="s">
        <v>625</v>
      </c>
      <c r="B228" s="791" t="s">
        <v>1148</v>
      </c>
      <c r="C228" s="805">
        <f t="shared" si="267"/>
        <v>0.4</v>
      </c>
      <c r="D228" s="805">
        <f t="shared" si="268"/>
        <v>0.5</v>
      </c>
      <c r="E228" s="805">
        <f t="shared" si="269"/>
        <v>0.04</v>
      </c>
      <c r="F228" s="805">
        <f t="shared" si="270"/>
        <v>0.06</v>
      </c>
      <c r="G228" s="822">
        <f t="shared" si="271"/>
        <v>0</v>
      </c>
      <c r="H228" s="815">
        <f t="shared" si="272"/>
        <v>0.12</v>
      </c>
      <c r="I228" s="805">
        <f t="shared" si="273"/>
        <v>0.68</v>
      </c>
      <c r="J228" s="805">
        <f t="shared" si="274"/>
        <v>0.1</v>
      </c>
      <c r="K228" s="805">
        <f t="shared" si="275"/>
        <v>0.04</v>
      </c>
      <c r="L228" s="805">
        <f t="shared" si="276"/>
        <v>0.04</v>
      </c>
      <c r="M228" s="805">
        <f t="shared" si="277"/>
        <v>0.02</v>
      </c>
    </row>
    <row r="229" spans="1:13">
      <c r="A229" s="790" t="s">
        <v>139</v>
      </c>
      <c r="B229" s="790" t="s">
        <v>1147</v>
      </c>
      <c r="C229" s="804">
        <f t="shared" si="267"/>
        <v>0.30172413793103448</v>
      </c>
      <c r="D229" s="804">
        <f t="shared" si="268"/>
        <v>0.52586206896551724</v>
      </c>
      <c r="E229" s="804">
        <f t="shared" si="269"/>
        <v>0.12931034482758622</v>
      </c>
      <c r="F229" s="804">
        <f t="shared" si="270"/>
        <v>4.3103448275862072E-2</v>
      </c>
      <c r="G229" s="821">
        <f t="shared" si="271"/>
        <v>0</v>
      </c>
      <c r="H229" s="814">
        <f t="shared" si="272"/>
        <v>0.14655172413793102</v>
      </c>
      <c r="I229" s="804">
        <f t="shared" si="273"/>
        <v>0.45689655172413796</v>
      </c>
      <c r="J229" s="804">
        <f t="shared" si="274"/>
        <v>0.22413793103448276</v>
      </c>
      <c r="K229" s="804">
        <f t="shared" si="275"/>
        <v>0.12931034482758622</v>
      </c>
      <c r="L229" s="804">
        <f t="shared" si="276"/>
        <v>3.4482758620689655E-2</v>
      </c>
      <c r="M229" s="804">
        <f t="shared" si="277"/>
        <v>8.6206896551724137E-3</v>
      </c>
    </row>
    <row r="230" spans="1:13">
      <c r="A230" s="789" t="s">
        <v>140</v>
      </c>
      <c r="B230" s="789" t="s">
        <v>1147</v>
      </c>
      <c r="C230" s="803">
        <f t="shared" si="267"/>
        <v>0.30172413793103448</v>
      </c>
      <c r="D230" s="803">
        <f t="shared" si="268"/>
        <v>0.52586206896551724</v>
      </c>
      <c r="E230" s="803">
        <f t="shared" si="269"/>
        <v>0.12931034482758622</v>
      </c>
      <c r="F230" s="803">
        <f t="shared" si="270"/>
        <v>4.3103448275862072E-2</v>
      </c>
      <c r="G230" s="820">
        <f t="shared" si="271"/>
        <v>0</v>
      </c>
      <c r="H230" s="813">
        <f t="shared" si="272"/>
        <v>0.14655172413793102</v>
      </c>
      <c r="I230" s="803">
        <f t="shared" si="273"/>
        <v>0.45689655172413796</v>
      </c>
      <c r="J230" s="803">
        <f t="shared" si="274"/>
        <v>0.22413793103448276</v>
      </c>
      <c r="K230" s="803">
        <f t="shared" si="275"/>
        <v>0.12931034482758622</v>
      </c>
      <c r="L230" s="803">
        <f t="shared" si="276"/>
        <v>3.4482758620689655E-2</v>
      </c>
      <c r="M230" s="803">
        <f t="shared" si="277"/>
        <v>8.6206896551724137E-3</v>
      </c>
    </row>
    <row r="231" spans="1:13">
      <c r="A231" s="792" t="s">
        <v>141</v>
      </c>
      <c r="B231" s="792" t="s">
        <v>283</v>
      </c>
      <c r="C231" s="806">
        <f t="shared" si="267"/>
        <v>0</v>
      </c>
      <c r="D231" s="806">
        <f t="shared" si="268"/>
        <v>0</v>
      </c>
      <c r="E231" s="806">
        <f t="shared" si="269"/>
        <v>0</v>
      </c>
      <c r="F231" s="806">
        <f t="shared" si="270"/>
        <v>0</v>
      </c>
      <c r="G231" s="823">
        <f t="shared" si="271"/>
        <v>0</v>
      </c>
      <c r="H231" s="816">
        <f t="shared" si="272"/>
        <v>0</v>
      </c>
      <c r="I231" s="806">
        <f t="shared" si="273"/>
        <v>0</v>
      </c>
      <c r="J231" s="806">
        <f t="shared" si="274"/>
        <v>0</v>
      </c>
      <c r="K231" s="806">
        <f t="shared" si="275"/>
        <v>0</v>
      </c>
      <c r="L231" s="806">
        <f t="shared" si="276"/>
        <v>0</v>
      </c>
      <c r="M231" s="806">
        <f t="shared" si="277"/>
        <v>0</v>
      </c>
    </row>
    <row r="232" spans="1:13">
      <c r="A232" s="789" t="s">
        <v>172</v>
      </c>
      <c r="B232" s="789" t="s">
        <v>1147</v>
      </c>
      <c r="C232" s="803">
        <f t="shared" si="267"/>
        <v>0.30172413793103448</v>
      </c>
      <c r="D232" s="803">
        <f t="shared" si="268"/>
        <v>0.52586206896551724</v>
      </c>
      <c r="E232" s="803">
        <f t="shared" si="269"/>
        <v>0.12931034482758622</v>
      </c>
      <c r="F232" s="803">
        <f t="shared" si="270"/>
        <v>4.3103448275862072E-2</v>
      </c>
      <c r="G232" s="820">
        <f t="shared" si="271"/>
        <v>0</v>
      </c>
      <c r="H232" s="813">
        <f t="shared" si="272"/>
        <v>0.14655172413793102</v>
      </c>
      <c r="I232" s="803">
        <f t="shared" si="273"/>
        <v>0.45689655172413796</v>
      </c>
      <c r="J232" s="803">
        <f t="shared" si="274"/>
        <v>0.22413793103448276</v>
      </c>
      <c r="K232" s="803">
        <f t="shared" si="275"/>
        <v>0.12931034482758622</v>
      </c>
      <c r="L232" s="803">
        <f t="shared" si="276"/>
        <v>3.4482758620689655E-2</v>
      </c>
      <c r="M232" s="803">
        <f t="shared" si="277"/>
        <v>8.6206896551724137E-3</v>
      </c>
    </row>
    <row r="233" spans="1:13">
      <c r="A233" s="790" t="s">
        <v>142</v>
      </c>
      <c r="B233" s="790" t="s">
        <v>1147</v>
      </c>
      <c r="C233" s="804">
        <f t="shared" si="267"/>
        <v>0.30172413793103448</v>
      </c>
      <c r="D233" s="804">
        <f t="shared" si="268"/>
        <v>0.52586206896551724</v>
      </c>
      <c r="E233" s="804">
        <f t="shared" si="269"/>
        <v>0.12931034482758622</v>
      </c>
      <c r="F233" s="804">
        <f t="shared" si="270"/>
        <v>4.3103448275862072E-2</v>
      </c>
      <c r="G233" s="821">
        <f t="shared" si="271"/>
        <v>0</v>
      </c>
      <c r="H233" s="814">
        <f t="shared" si="272"/>
        <v>0.14655172413793102</v>
      </c>
      <c r="I233" s="804">
        <f t="shared" si="273"/>
        <v>0.45689655172413796</v>
      </c>
      <c r="J233" s="804">
        <f t="shared" si="274"/>
        <v>0.22413793103448276</v>
      </c>
      <c r="K233" s="804">
        <f t="shared" si="275"/>
        <v>0.12931034482758622</v>
      </c>
      <c r="L233" s="804">
        <f t="shared" si="276"/>
        <v>3.4482758620689655E-2</v>
      </c>
      <c r="M233" s="804">
        <f t="shared" si="277"/>
        <v>8.6206896551724137E-3</v>
      </c>
    </row>
    <row r="234" spans="1:13">
      <c r="A234" s="789" t="s">
        <v>143</v>
      </c>
      <c r="B234" s="789" t="s">
        <v>283</v>
      </c>
      <c r="C234" s="803">
        <f t="shared" si="267"/>
        <v>0</v>
      </c>
      <c r="D234" s="803">
        <f t="shared" si="268"/>
        <v>0</v>
      </c>
      <c r="E234" s="803">
        <f t="shared" si="269"/>
        <v>0</v>
      </c>
      <c r="F234" s="803">
        <f t="shared" si="270"/>
        <v>0</v>
      </c>
      <c r="G234" s="820">
        <f t="shared" si="271"/>
        <v>0</v>
      </c>
      <c r="H234" s="813">
        <f t="shared" si="272"/>
        <v>0</v>
      </c>
      <c r="I234" s="803">
        <f t="shared" si="273"/>
        <v>0</v>
      </c>
      <c r="J234" s="803">
        <f t="shared" si="274"/>
        <v>0</v>
      </c>
      <c r="K234" s="803">
        <f t="shared" si="275"/>
        <v>0</v>
      </c>
      <c r="L234" s="803">
        <f t="shared" si="276"/>
        <v>0</v>
      </c>
      <c r="M234" s="803">
        <f t="shared" si="277"/>
        <v>0</v>
      </c>
    </row>
    <row r="235" spans="1:13">
      <c r="A235" s="790" t="s">
        <v>144</v>
      </c>
      <c r="B235" s="790" t="s">
        <v>283</v>
      </c>
      <c r="C235" s="804">
        <f t="shared" si="267"/>
        <v>0</v>
      </c>
      <c r="D235" s="804">
        <f t="shared" si="268"/>
        <v>0</v>
      </c>
      <c r="E235" s="804">
        <f t="shared" si="269"/>
        <v>0</v>
      </c>
      <c r="F235" s="804">
        <f t="shared" si="270"/>
        <v>0</v>
      </c>
      <c r="G235" s="821">
        <f t="shared" si="271"/>
        <v>0</v>
      </c>
      <c r="H235" s="814">
        <f t="shared" si="272"/>
        <v>0</v>
      </c>
      <c r="I235" s="804">
        <f t="shared" si="273"/>
        <v>0</v>
      </c>
      <c r="J235" s="804">
        <f t="shared" si="274"/>
        <v>0</v>
      </c>
      <c r="K235" s="804">
        <f t="shared" si="275"/>
        <v>0</v>
      </c>
      <c r="L235" s="804">
        <f t="shared" si="276"/>
        <v>0</v>
      </c>
      <c r="M235" s="804">
        <f t="shared" si="277"/>
        <v>0</v>
      </c>
    </row>
    <row r="236" spans="1:13">
      <c r="A236" s="789" t="s">
        <v>233</v>
      </c>
      <c r="B236" s="789" t="s">
        <v>283</v>
      </c>
      <c r="C236" s="803">
        <f t="shared" si="267"/>
        <v>0</v>
      </c>
      <c r="D236" s="803">
        <f t="shared" si="268"/>
        <v>0</v>
      </c>
      <c r="E236" s="803">
        <f t="shared" si="269"/>
        <v>0</v>
      </c>
      <c r="F236" s="803">
        <f t="shared" si="270"/>
        <v>0</v>
      </c>
      <c r="G236" s="820">
        <f t="shared" si="271"/>
        <v>0</v>
      </c>
      <c r="H236" s="813">
        <f t="shared" si="272"/>
        <v>0</v>
      </c>
      <c r="I236" s="803">
        <f t="shared" si="273"/>
        <v>0</v>
      </c>
      <c r="J236" s="803">
        <f t="shared" si="274"/>
        <v>0</v>
      </c>
      <c r="K236" s="803">
        <f t="shared" si="275"/>
        <v>0</v>
      </c>
      <c r="L236" s="803">
        <f t="shared" si="276"/>
        <v>0</v>
      </c>
      <c r="M236" s="803">
        <f t="shared" si="277"/>
        <v>0</v>
      </c>
    </row>
    <row r="237" spans="1:13">
      <c r="A237" s="790" t="s">
        <v>234</v>
      </c>
      <c r="B237" s="790" t="s">
        <v>283</v>
      </c>
      <c r="C237" s="804">
        <f t="shared" si="267"/>
        <v>0</v>
      </c>
      <c r="D237" s="804">
        <f t="shared" si="268"/>
        <v>0</v>
      </c>
      <c r="E237" s="804">
        <f t="shared" si="269"/>
        <v>0</v>
      </c>
      <c r="F237" s="804">
        <f t="shared" si="270"/>
        <v>0</v>
      </c>
      <c r="G237" s="821">
        <f t="shared" si="271"/>
        <v>0</v>
      </c>
      <c r="H237" s="814">
        <f t="shared" si="272"/>
        <v>0</v>
      </c>
      <c r="I237" s="804">
        <f t="shared" si="273"/>
        <v>0</v>
      </c>
      <c r="J237" s="804">
        <f t="shared" si="274"/>
        <v>0</v>
      </c>
      <c r="K237" s="804">
        <f t="shared" si="275"/>
        <v>0</v>
      </c>
      <c r="L237" s="804">
        <f t="shared" si="276"/>
        <v>0</v>
      </c>
      <c r="M237" s="804">
        <f t="shared" si="277"/>
        <v>0</v>
      </c>
    </row>
    <row r="238" spans="1:13">
      <c r="A238" s="791" t="s">
        <v>216</v>
      </c>
      <c r="B238" s="791" t="s">
        <v>283</v>
      </c>
      <c r="C238" s="805">
        <f t="shared" si="267"/>
        <v>0</v>
      </c>
      <c r="D238" s="805">
        <f t="shared" si="268"/>
        <v>0</v>
      </c>
      <c r="E238" s="805">
        <f t="shared" si="269"/>
        <v>0</v>
      </c>
      <c r="F238" s="805">
        <f t="shared" si="270"/>
        <v>0</v>
      </c>
      <c r="G238" s="822">
        <f t="shared" si="271"/>
        <v>0</v>
      </c>
      <c r="H238" s="815">
        <f t="shared" si="272"/>
        <v>0</v>
      </c>
      <c r="I238" s="805">
        <f t="shared" si="273"/>
        <v>0</v>
      </c>
      <c r="J238" s="805">
        <f t="shared" si="274"/>
        <v>0</v>
      </c>
      <c r="K238" s="805">
        <f t="shared" si="275"/>
        <v>0</v>
      </c>
      <c r="L238" s="805">
        <f t="shared" si="276"/>
        <v>0</v>
      </c>
      <c r="M238" s="805">
        <f t="shared" si="277"/>
        <v>0</v>
      </c>
    </row>
  </sheetData>
  <mergeCells count="2">
    <mergeCell ref="C158:G158"/>
    <mergeCell ref="D2:F2"/>
  </mergeCells>
  <conditionalFormatting sqref="M4:M119">
    <cfRule type="containsText" dxfId="3" priority="1" operator="containsText" text="No">
      <formula>NOT(ISERROR(SEARCH("No",M4)))</formula>
    </cfRule>
  </conditionalFormatting>
  <dataValidations count="1">
    <dataValidation type="list" allowBlank="1" showInputMessage="1" showErrorMessage="1" sqref="B160:B238">
      <formula1>$A$124:$A$154</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AY246"/>
  <sheetViews>
    <sheetView zoomScale="70" zoomScaleNormal="70" workbookViewId="0">
      <pane ySplit="5" topLeftCell="A6" activePane="bottomLeft" state="frozen"/>
      <selection pane="bottomLeft"/>
    </sheetView>
  </sheetViews>
  <sheetFormatPr defaultRowHeight="12.75"/>
  <cols>
    <col min="3" max="3" width="39.7109375" customWidth="1"/>
    <col min="4" max="4" width="39.28515625" customWidth="1"/>
    <col min="30" max="30" width="38.140625" customWidth="1"/>
    <col min="32" max="32" width="13.28515625" customWidth="1"/>
  </cols>
  <sheetData>
    <row r="1" spans="1:51" ht="15.75" thickBot="1">
      <c r="A1" s="1102"/>
      <c r="B1" s="1102"/>
      <c r="C1" s="1103"/>
      <c r="D1" s="1103"/>
      <c r="E1" s="1103"/>
      <c r="F1" s="1102"/>
      <c r="G1" s="1102"/>
      <c r="H1" s="1104"/>
      <c r="I1" s="1102"/>
      <c r="J1" s="1102"/>
      <c r="K1" s="1102"/>
      <c r="L1" s="1102"/>
      <c r="M1" s="1105"/>
      <c r="N1" s="1102"/>
      <c r="O1" s="1106"/>
      <c r="P1" s="1102"/>
      <c r="Q1" s="1102"/>
      <c r="R1" s="1102"/>
      <c r="S1" s="1102"/>
      <c r="T1" s="1102"/>
      <c r="U1" s="1102"/>
      <c r="V1" s="1102"/>
      <c r="W1" s="1102"/>
      <c r="X1" s="1102"/>
      <c r="Y1" s="1102"/>
      <c r="Z1" s="1102"/>
      <c r="AA1" s="1102"/>
      <c r="AB1" s="1102"/>
      <c r="AC1" s="1102"/>
      <c r="AD1" s="1119"/>
      <c r="AE1" s="1120"/>
      <c r="AF1" s="1119"/>
      <c r="AG1" s="1119"/>
      <c r="AH1" s="1119"/>
      <c r="AI1" s="1119"/>
      <c r="AJ1" s="1119"/>
      <c r="AK1" s="1119"/>
      <c r="AL1" s="1119"/>
      <c r="AM1" s="1119"/>
      <c r="AN1" s="1119"/>
      <c r="AO1" s="1119"/>
      <c r="AP1" s="1122"/>
      <c r="AQ1" s="1123"/>
      <c r="AR1" s="1123"/>
      <c r="AS1" s="1123"/>
      <c r="AT1" s="1123"/>
      <c r="AU1" s="1122"/>
      <c r="AV1" s="1122"/>
      <c r="AW1" s="1122"/>
      <c r="AX1" s="1122"/>
      <c r="AY1" s="1119"/>
    </row>
    <row r="2" spans="1:51" ht="15.75" thickBot="1">
      <c r="A2" s="1102"/>
      <c r="B2" s="1139" t="s">
        <v>1443</v>
      </c>
      <c r="C2" s="1140"/>
      <c r="D2" s="1103"/>
      <c r="E2" s="1103"/>
      <c r="F2" s="1102"/>
      <c r="G2" s="1102"/>
      <c r="H2" s="1104"/>
      <c r="I2" s="1102"/>
      <c r="J2" s="1102"/>
      <c r="K2" s="1102"/>
      <c r="L2" s="1102"/>
      <c r="M2" s="1105"/>
      <c r="N2" s="1102"/>
      <c r="O2" s="1106"/>
      <c r="P2" s="1102"/>
      <c r="Q2" s="1102"/>
      <c r="R2" s="1102"/>
      <c r="S2" s="1102"/>
      <c r="T2" s="1102"/>
      <c r="U2" s="1102"/>
      <c r="V2" s="1102"/>
      <c r="W2" s="1102"/>
      <c r="X2" s="1102"/>
      <c r="Y2" s="1102"/>
      <c r="Z2" s="1102"/>
      <c r="AA2" s="1102"/>
      <c r="AB2" s="1102"/>
      <c r="AC2" s="1102"/>
      <c r="AD2" s="1141" t="s">
        <v>1019</v>
      </c>
      <c r="AE2" s="1142"/>
      <c r="AF2" s="1119"/>
      <c r="AG2" s="1119"/>
      <c r="AH2" s="1119"/>
      <c r="AI2" s="1119"/>
      <c r="AJ2" s="1119"/>
      <c r="AK2" s="1119"/>
      <c r="AL2" s="703" t="s">
        <v>1021</v>
      </c>
      <c r="AM2" s="704">
        <v>40955</v>
      </c>
      <c r="AN2" s="1119"/>
      <c r="AO2" s="1119"/>
      <c r="AP2" s="1122"/>
      <c r="AQ2" s="1123"/>
      <c r="AR2" s="1123"/>
      <c r="AS2" s="1123"/>
      <c r="AT2" s="1123"/>
      <c r="AU2" s="1122"/>
      <c r="AV2" s="1122"/>
      <c r="AW2" s="1122"/>
      <c r="AX2" s="1122"/>
      <c r="AY2" s="1119"/>
    </row>
    <row r="3" spans="1:51" ht="13.5" thickBot="1">
      <c r="A3" s="1102"/>
      <c r="B3" s="1102"/>
      <c r="C3" s="1102"/>
      <c r="D3" s="1102"/>
      <c r="E3" s="1103"/>
      <c r="F3" s="1102"/>
      <c r="G3" s="1102"/>
      <c r="H3" s="1102"/>
      <c r="I3" s="1102"/>
      <c r="J3" s="1102"/>
      <c r="K3" s="1102"/>
      <c r="L3" s="1102"/>
      <c r="M3" s="1102"/>
      <c r="N3" s="1102"/>
      <c r="O3" s="1102"/>
      <c r="P3" s="1102"/>
      <c r="Q3" s="1102"/>
      <c r="R3" s="1102"/>
      <c r="S3" s="1102"/>
      <c r="T3" s="1102"/>
      <c r="U3" s="1102"/>
      <c r="V3" s="1102"/>
      <c r="W3" s="1102"/>
      <c r="X3" s="1102"/>
      <c r="Y3" s="1102"/>
      <c r="Z3" s="1102"/>
      <c r="AA3" s="1102"/>
      <c r="AB3" s="1102"/>
      <c r="AC3" s="1102"/>
      <c r="AD3" s="1119"/>
      <c r="AE3" s="1120"/>
      <c r="AF3" s="1119"/>
      <c r="AG3" s="1119"/>
      <c r="AH3" s="1119"/>
      <c r="AI3" s="1119"/>
      <c r="AJ3" s="1119"/>
      <c r="AK3" s="1119"/>
      <c r="AL3" s="1119"/>
      <c r="AM3" s="1119"/>
      <c r="AN3" s="1119"/>
      <c r="AO3" s="1119"/>
      <c r="AP3" s="1186" t="s">
        <v>1442</v>
      </c>
      <c r="AQ3" s="1187"/>
      <c r="AR3" s="1187"/>
      <c r="AS3" s="1187"/>
      <c r="AT3" s="1187"/>
      <c r="AU3" s="1101">
        <v>0.13</v>
      </c>
      <c r="AV3" s="1122"/>
      <c r="AW3" s="1122"/>
      <c r="AX3" s="1122"/>
      <c r="AY3" s="1119"/>
    </row>
    <row r="4" spans="1:51" ht="19.5" thickBot="1">
      <c r="A4" s="1102"/>
      <c r="B4" s="1102"/>
      <c r="C4" s="1102"/>
      <c r="D4" s="1103"/>
      <c r="E4" s="1103"/>
      <c r="F4" s="1102"/>
      <c r="G4" s="1102"/>
      <c r="H4" s="900" t="s">
        <v>1248</v>
      </c>
      <c r="I4" s="901"/>
      <c r="J4" s="901"/>
      <c r="K4" s="902"/>
      <c r="L4" s="902"/>
      <c r="M4" s="900" t="s">
        <v>1249</v>
      </c>
      <c r="N4" s="900"/>
      <c r="O4" s="900"/>
      <c r="P4" s="900"/>
      <c r="Q4" s="900"/>
      <c r="R4" s="903" t="s">
        <v>1250</v>
      </c>
      <c r="S4" s="1188" t="s">
        <v>1251</v>
      </c>
      <c r="T4" s="1189"/>
      <c r="U4" s="1189"/>
      <c r="V4" s="1189"/>
      <c r="W4" s="1190"/>
      <c r="X4" s="1188" t="s">
        <v>1252</v>
      </c>
      <c r="Y4" s="1189"/>
      <c r="Z4" s="1189"/>
      <c r="AA4" s="1189"/>
      <c r="AB4" s="1190"/>
      <c r="AC4" s="1102"/>
      <c r="AD4" s="1121"/>
      <c r="AE4" s="1121"/>
      <c r="AF4" s="876"/>
      <c r="AG4" s="904" t="s">
        <v>1253</v>
      </c>
      <c r="AH4" s="904"/>
      <c r="AI4" s="904"/>
      <c r="AJ4" s="904"/>
      <c r="AK4" s="707"/>
      <c r="AL4" s="904" t="s">
        <v>1254</v>
      </c>
      <c r="AM4" s="895"/>
      <c r="AN4" s="904"/>
      <c r="AO4" s="905"/>
      <c r="AP4" s="876"/>
      <c r="AQ4" s="906" t="s">
        <v>1255</v>
      </c>
      <c r="AR4" s="907"/>
      <c r="AS4" s="908"/>
      <c r="AT4" s="909"/>
      <c r="AU4" s="906" t="s">
        <v>1256</v>
      </c>
      <c r="AV4" s="907"/>
      <c r="AW4" s="908"/>
      <c r="AX4" s="909"/>
      <c r="AY4" s="1119"/>
    </row>
    <row r="5" spans="1:51" ht="90.75" thickBot="1">
      <c r="A5" s="1107"/>
      <c r="B5" s="910" t="s">
        <v>1257</v>
      </c>
      <c r="C5" s="911" t="s">
        <v>1258</v>
      </c>
      <c r="D5" s="912" t="s">
        <v>1259</v>
      </c>
      <c r="E5" s="912" t="s">
        <v>1260</v>
      </c>
      <c r="F5" s="913" t="s">
        <v>1261</v>
      </c>
      <c r="G5" s="914" t="s">
        <v>1262</v>
      </c>
      <c r="H5" s="915" t="s">
        <v>1263</v>
      </c>
      <c r="I5" s="916" t="s">
        <v>1264</v>
      </c>
      <c r="J5" s="916" t="s">
        <v>1265</v>
      </c>
      <c r="K5" s="916" t="s">
        <v>1266</v>
      </c>
      <c r="L5" s="917" t="s">
        <v>1267</v>
      </c>
      <c r="M5" s="918" t="s">
        <v>1268</v>
      </c>
      <c r="N5" s="919" t="s">
        <v>1269</v>
      </c>
      <c r="O5" s="919" t="s">
        <v>1270</v>
      </c>
      <c r="P5" s="919" t="s">
        <v>1271</v>
      </c>
      <c r="Q5" s="920" t="s">
        <v>1272</v>
      </c>
      <c r="R5" s="921" t="s">
        <v>1273</v>
      </c>
      <c r="S5" s="922" t="s">
        <v>1011</v>
      </c>
      <c r="T5" s="923" t="s">
        <v>1012</v>
      </c>
      <c r="U5" s="923" t="s">
        <v>1013</v>
      </c>
      <c r="V5" s="923" t="s">
        <v>1014</v>
      </c>
      <c r="W5" s="924" t="s">
        <v>1274</v>
      </c>
      <c r="X5" s="922" t="s">
        <v>1011</v>
      </c>
      <c r="Y5" s="923" t="s">
        <v>1012</v>
      </c>
      <c r="Z5" s="923" t="s">
        <v>1013</v>
      </c>
      <c r="AA5" s="923" t="s">
        <v>1014</v>
      </c>
      <c r="AB5" s="924" t="s">
        <v>1274</v>
      </c>
      <c r="AC5" s="1107"/>
      <c r="AD5" s="702" t="s">
        <v>104</v>
      </c>
      <c r="AE5" s="409" t="s">
        <v>763</v>
      </c>
      <c r="AF5" s="879" t="s">
        <v>1166</v>
      </c>
      <c r="AG5" s="879" t="s">
        <v>608</v>
      </c>
      <c r="AH5" s="731" t="s">
        <v>609</v>
      </c>
      <c r="AI5" s="731" t="s">
        <v>610</v>
      </c>
      <c r="AJ5" s="706" t="s">
        <v>611</v>
      </c>
      <c r="AK5" s="925" t="s">
        <v>1016</v>
      </c>
      <c r="AL5" s="705" t="s">
        <v>608</v>
      </c>
      <c r="AM5" s="706" t="s">
        <v>609</v>
      </c>
      <c r="AN5" s="706" t="s">
        <v>610</v>
      </c>
      <c r="AO5" s="707" t="s">
        <v>611</v>
      </c>
      <c r="AP5" s="879" t="s">
        <v>1244</v>
      </c>
      <c r="AQ5" s="880" t="s">
        <v>608</v>
      </c>
      <c r="AR5" s="881" t="s">
        <v>609</v>
      </c>
      <c r="AS5" s="881" t="s">
        <v>610</v>
      </c>
      <c r="AT5" s="882" t="s">
        <v>611</v>
      </c>
      <c r="AU5" s="880" t="s">
        <v>608</v>
      </c>
      <c r="AV5" s="881" t="s">
        <v>609</v>
      </c>
      <c r="AW5" s="881" t="s">
        <v>610</v>
      </c>
      <c r="AX5" s="882" t="s">
        <v>611</v>
      </c>
      <c r="AY5" s="1119"/>
    </row>
    <row r="6" spans="1:51" ht="15">
      <c r="A6" s="1108"/>
      <c r="B6" s="926">
        <v>120</v>
      </c>
      <c r="C6" s="927"/>
      <c r="D6" s="928" t="s">
        <v>138</v>
      </c>
      <c r="E6" s="928">
        <v>61</v>
      </c>
      <c r="F6" s="929">
        <v>1</v>
      </c>
      <c r="G6" s="930">
        <v>1.2</v>
      </c>
      <c r="H6" s="931">
        <v>0.51058199999999998</v>
      </c>
      <c r="I6" s="932">
        <v>1.2427859027777699</v>
      </c>
      <c r="J6" s="932">
        <v>29.694915138888799</v>
      </c>
      <c r="K6" s="932">
        <v>1.1182799999999999</v>
      </c>
      <c r="L6" s="933">
        <v>0</v>
      </c>
      <c r="M6" s="934">
        <v>20.66</v>
      </c>
      <c r="N6" s="934">
        <v>0.1</v>
      </c>
      <c r="O6" s="934">
        <v>3.24</v>
      </c>
      <c r="P6" s="934">
        <v>0</v>
      </c>
      <c r="Q6" s="934">
        <v>0.15257142857142858</v>
      </c>
      <c r="R6" s="935">
        <f t="shared" ref="R6:R69" si="0">365/1000*((($J6-$H6)*Q6)+($I6*(M6-(24*Q6)))+($K6*N6)+($L6*P6))</f>
        <v>9.3767599384428415</v>
      </c>
      <c r="S6" s="898">
        <f t="shared" ref="S6:S69" si="1">IF(($H6&lt;(VLOOKUP($F6,Product_Class,9,FALSE))),(VLOOKUP($F6,Product_Class,10,FALSE)),((VLOOKUP($F6,Product_Class,7,FALSE)*$H6)+(VLOOKUP($F6,Product_Class,8,FALSE))))</f>
        <v>8.73</v>
      </c>
      <c r="T6" s="898">
        <f t="shared" ref="T6:T69" si="2">IF(($H6&lt;(VLOOKUP($F6,Product_Class,13,FALSE))),(VLOOKUP($F6,Product_Class,14,FALSE)),((VLOOKUP($F6,Product_Class,11,FALSE)*$H6)+(VLOOKUP($F6,Product_Class,12,FALSE))))</f>
        <v>6.1</v>
      </c>
      <c r="U6" s="898">
        <f t="shared" ref="U6:U69" si="3">IF(($H6&lt;(VLOOKUP($F6,Product_Class,17,FALSE))),(VLOOKUP($F6,Product_Class,18,FALSE)),((VLOOKUP($F6,Product_Class,15,FALSE)*$H6)+(VLOOKUP($F6,Product_Class,16,FALSE))))</f>
        <v>3.04</v>
      </c>
      <c r="V6" s="898">
        <f t="shared" ref="V6:V69" si="4">IF(($H6&lt;(VLOOKUP($F6,Product_Class,21,FALSE))),(VLOOKUP($F6,Product_Class,22,FALSE)),((VLOOKUP($F6,Product_Class,19,FALSE)*$H6)+(VLOOKUP($F6,Product_Class,20,FALSE))))</f>
        <v>1.29</v>
      </c>
      <c r="W6" s="936">
        <f t="shared" ref="W6:W69" si="5">IF(($H6&lt;(VLOOKUP($F6,Product_Class,25,FALSE))),(VLOOKUP($F6,Product_Class,26,FALSE)),((VLOOKUP($F6,Product_Class,23,FALSE)*$H6)+(VLOOKUP($F6,Product_Class,24,FALSE))))</f>
        <v>0</v>
      </c>
      <c r="X6" s="656">
        <f t="shared" ref="X6:AB56" si="6">IF($R6&lt;=S6,1,0)</f>
        <v>0</v>
      </c>
      <c r="Y6" s="656">
        <f t="shared" si="6"/>
        <v>0</v>
      </c>
      <c r="Z6" s="656">
        <f t="shared" si="6"/>
        <v>0</v>
      </c>
      <c r="AA6" s="656">
        <f t="shared" si="6"/>
        <v>0</v>
      </c>
      <c r="AB6" s="937">
        <f t="shared" si="6"/>
        <v>0</v>
      </c>
      <c r="AC6" s="1108"/>
      <c r="AD6" s="1081" t="s">
        <v>105</v>
      </c>
      <c r="AE6" s="1082">
        <v>1</v>
      </c>
      <c r="AF6" s="939" t="s">
        <v>283</v>
      </c>
      <c r="AG6" s="1083" t="str">
        <f t="shared" ref="AG6:AG37" si="7">VLOOKUP($AF6,Results_bc,10,FALSE)</f>
        <v>-</v>
      </c>
      <c r="AH6" s="1083" t="str">
        <f t="shared" ref="AH6:AH37" si="8">VLOOKUP($AF6,Results_bc,11,FALSE)</f>
        <v>-</v>
      </c>
      <c r="AI6" s="1083" t="str">
        <f t="shared" ref="AI6:AI37" si="9">VLOOKUP($AF6,Results_bc,12,FALSE)</f>
        <v>-</v>
      </c>
      <c r="AJ6" s="1083" t="str">
        <f t="shared" ref="AJ6:AJ37" si="10">VLOOKUP($AF6,Results_bc,13,FALSE)</f>
        <v>-</v>
      </c>
      <c r="AK6" s="940">
        <f t="shared" ref="AK6:AK37" si="11">1-(SUM(AG6:AJ6))</f>
        <v>1</v>
      </c>
      <c r="AL6" s="1084" t="str">
        <f t="shared" ref="AL6:AL37" si="12">IF(AG6="-"," ",AG6+AK6)</f>
        <v xml:space="preserve"> </v>
      </c>
      <c r="AM6" s="1083" t="str">
        <f t="shared" ref="AM6:AM37" si="13">IF(AH6="-"," ",AH6)</f>
        <v xml:space="preserve"> </v>
      </c>
      <c r="AN6" s="1083" t="str">
        <f t="shared" ref="AN6:AN37" si="14">IF(AI6="-"," ",AI6)</f>
        <v xml:space="preserve"> </v>
      </c>
      <c r="AO6" s="940" t="str">
        <f t="shared" ref="AO6:AO37" si="15">IF(AJ6="-"," ",AJ6)</f>
        <v xml:space="preserve"> </v>
      </c>
      <c r="AP6" s="1130" t="s">
        <v>283</v>
      </c>
      <c r="AQ6" s="1085"/>
      <c r="AR6" s="1085"/>
      <c r="AS6" s="1085" t="str">
        <f t="shared" ref="AS6:AS20" si="16">IF(AT6=" "," ",1-AT6)</f>
        <v xml:space="preserve"> </v>
      </c>
      <c r="AT6" s="1086" t="str">
        <f t="shared" ref="AT6:AT20" si="17">IF(AO6=" "," ",AO6)</f>
        <v xml:space="preserve"> </v>
      </c>
      <c r="AU6" s="1085"/>
      <c r="AV6" s="1085"/>
      <c r="AW6" s="1085"/>
      <c r="AX6" s="1086"/>
      <c r="AY6" s="1119"/>
    </row>
    <row r="7" spans="1:51" ht="15">
      <c r="A7" s="1108"/>
      <c r="B7" s="926">
        <v>121</v>
      </c>
      <c r="C7" s="927"/>
      <c r="D7" s="928" t="s">
        <v>138</v>
      </c>
      <c r="E7" s="928">
        <v>61</v>
      </c>
      <c r="F7" s="929">
        <v>1</v>
      </c>
      <c r="G7" s="930">
        <v>2.4</v>
      </c>
      <c r="H7" s="942">
        <v>0.75901700000000005</v>
      </c>
      <c r="I7" s="943">
        <v>0.96830000000000005</v>
      </c>
      <c r="J7" s="943">
        <v>23.234781250000001</v>
      </c>
      <c r="K7" s="943">
        <v>0.83543400000000001</v>
      </c>
      <c r="L7" s="944">
        <v>0</v>
      </c>
      <c r="M7" s="934">
        <v>20.66</v>
      </c>
      <c r="N7" s="934">
        <v>0.1</v>
      </c>
      <c r="O7" s="934">
        <v>3.24</v>
      </c>
      <c r="P7" s="934">
        <v>0</v>
      </c>
      <c r="Q7" s="934">
        <v>0.15257142857142858</v>
      </c>
      <c r="R7" s="935">
        <f t="shared" si="0"/>
        <v>7.2898321647049995</v>
      </c>
      <c r="S7" s="898">
        <f t="shared" si="1"/>
        <v>8.73</v>
      </c>
      <c r="T7" s="898">
        <f t="shared" si="2"/>
        <v>6.1</v>
      </c>
      <c r="U7" s="898">
        <f t="shared" si="3"/>
        <v>3.04</v>
      </c>
      <c r="V7" s="898">
        <f t="shared" si="4"/>
        <v>1.29</v>
      </c>
      <c r="W7" s="945">
        <f t="shared" si="5"/>
        <v>0</v>
      </c>
      <c r="X7" s="656">
        <f t="shared" si="6"/>
        <v>1</v>
      </c>
      <c r="Y7" s="656">
        <f t="shared" si="6"/>
        <v>0</v>
      </c>
      <c r="Z7" s="656">
        <f t="shared" si="6"/>
        <v>0</v>
      </c>
      <c r="AA7" s="656">
        <f t="shared" si="6"/>
        <v>0</v>
      </c>
      <c r="AB7" s="946">
        <f t="shared" si="6"/>
        <v>0</v>
      </c>
      <c r="AC7" s="1108"/>
      <c r="AD7" s="1079" t="s">
        <v>106</v>
      </c>
      <c r="AE7" s="938">
        <f t="shared" ref="AE7:AE38" si="18">AE6+1</f>
        <v>2</v>
      </c>
      <c r="AF7" s="947" t="s">
        <v>283</v>
      </c>
      <c r="AG7" s="708" t="str">
        <f t="shared" si="7"/>
        <v>-</v>
      </c>
      <c r="AH7" s="708" t="str">
        <f t="shared" si="8"/>
        <v>-</v>
      </c>
      <c r="AI7" s="708" t="str">
        <f t="shared" si="9"/>
        <v>-</v>
      </c>
      <c r="AJ7" s="708" t="str">
        <f t="shared" si="10"/>
        <v>-</v>
      </c>
      <c r="AK7" s="709">
        <f t="shared" si="11"/>
        <v>1</v>
      </c>
      <c r="AL7" s="941" t="str">
        <f t="shared" si="12"/>
        <v xml:space="preserve"> </v>
      </c>
      <c r="AM7" s="708" t="str">
        <f t="shared" si="13"/>
        <v xml:space="preserve"> </v>
      </c>
      <c r="AN7" s="708" t="str">
        <f t="shared" si="14"/>
        <v xml:space="preserve"> </v>
      </c>
      <c r="AO7" s="709" t="str">
        <f t="shared" si="15"/>
        <v xml:space="preserve"> </v>
      </c>
      <c r="AP7" s="1131" t="s">
        <v>283</v>
      </c>
      <c r="AQ7" s="883"/>
      <c r="AR7" s="883"/>
      <c r="AS7" s="883" t="str">
        <f t="shared" si="16"/>
        <v xml:space="preserve"> </v>
      </c>
      <c r="AT7" s="884" t="str">
        <f t="shared" si="17"/>
        <v xml:space="preserve"> </v>
      </c>
      <c r="AU7" s="883"/>
      <c r="AV7" s="883"/>
      <c r="AW7" s="883"/>
      <c r="AX7" s="884"/>
      <c r="AY7" s="1119"/>
    </row>
    <row r="8" spans="1:51" ht="15">
      <c r="A8" s="1108"/>
      <c r="B8" s="926">
        <v>1048</v>
      </c>
      <c r="C8" s="927"/>
      <c r="D8" s="928" t="s">
        <v>138</v>
      </c>
      <c r="E8" s="928">
        <v>61</v>
      </c>
      <c r="F8" s="929">
        <v>1</v>
      </c>
      <c r="G8" s="930">
        <v>1.4</v>
      </c>
      <c r="H8" s="942">
        <v>0.76799127669182909</v>
      </c>
      <c r="I8" s="943">
        <v>1.0772833333333107</v>
      </c>
      <c r="J8" s="943">
        <v>25.815000000000001</v>
      </c>
      <c r="K8" s="943">
        <v>1.0900000000000001</v>
      </c>
      <c r="L8" s="944">
        <v>0</v>
      </c>
      <c r="M8" s="934">
        <v>20.66</v>
      </c>
      <c r="N8" s="934">
        <v>0.1</v>
      </c>
      <c r="O8" s="934">
        <v>3.24</v>
      </c>
      <c r="P8" s="934">
        <v>0</v>
      </c>
      <c r="Q8" s="934">
        <v>0.15257142857142858</v>
      </c>
      <c r="R8" s="935">
        <f t="shared" si="0"/>
        <v>8.1184861461217626</v>
      </c>
      <c r="S8" s="898">
        <f t="shared" si="1"/>
        <v>8.73</v>
      </c>
      <c r="T8" s="898">
        <f t="shared" si="2"/>
        <v>6.1</v>
      </c>
      <c r="U8" s="898">
        <f t="shared" si="3"/>
        <v>3.04</v>
      </c>
      <c r="V8" s="898">
        <f t="shared" si="4"/>
        <v>1.29</v>
      </c>
      <c r="W8" s="945">
        <f t="shared" si="5"/>
        <v>0</v>
      </c>
      <c r="X8" s="656">
        <f t="shared" si="6"/>
        <v>1</v>
      </c>
      <c r="Y8" s="656">
        <f t="shared" si="6"/>
        <v>0</v>
      </c>
      <c r="Z8" s="656">
        <f t="shared" si="6"/>
        <v>0</v>
      </c>
      <c r="AA8" s="656">
        <f t="shared" si="6"/>
        <v>0</v>
      </c>
      <c r="AB8" s="946">
        <f t="shared" si="6"/>
        <v>0</v>
      </c>
      <c r="AC8" s="1108"/>
      <c r="AD8" s="1080" t="s">
        <v>107</v>
      </c>
      <c r="AE8" s="12">
        <f t="shared" si="18"/>
        <v>3</v>
      </c>
      <c r="AF8" s="949" t="s">
        <v>203</v>
      </c>
      <c r="AG8" s="698">
        <f t="shared" si="7"/>
        <v>6.0606060606060608E-2</v>
      </c>
      <c r="AH8" s="698">
        <f t="shared" si="8"/>
        <v>0.69696969696969702</v>
      </c>
      <c r="AI8" s="698">
        <f t="shared" si="9"/>
        <v>9.0909090909090912E-2</v>
      </c>
      <c r="AJ8" s="698">
        <f t="shared" si="10"/>
        <v>0</v>
      </c>
      <c r="AK8" s="710">
        <f t="shared" si="11"/>
        <v>0.15151515151515149</v>
      </c>
      <c r="AL8" s="891">
        <f t="shared" si="12"/>
        <v>0.2121212121212121</v>
      </c>
      <c r="AM8" s="698">
        <f t="shared" si="13"/>
        <v>0.69696969696969702</v>
      </c>
      <c r="AN8" s="698">
        <f t="shared" si="14"/>
        <v>9.0909090909090912E-2</v>
      </c>
      <c r="AO8" s="710">
        <f t="shared" si="15"/>
        <v>0</v>
      </c>
      <c r="AP8" s="885">
        <v>2</v>
      </c>
      <c r="AQ8" s="877">
        <v>0</v>
      </c>
      <c r="AR8" s="877">
        <v>0</v>
      </c>
      <c r="AS8" s="877">
        <f t="shared" si="16"/>
        <v>1</v>
      </c>
      <c r="AT8" s="886">
        <f t="shared" si="17"/>
        <v>0</v>
      </c>
      <c r="AU8" s="877">
        <f>(AL8*(1-$AU$3))+(AQ8*$AU$3)</f>
        <v>0.18454545454545451</v>
      </c>
      <c r="AV8" s="877">
        <f>(AM8*(1-$AU$3))+(AR8*$AU$3)</f>
        <v>0.60636363636363644</v>
      </c>
      <c r="AW8" s="877">
        <f>(AN8*(1-$AU$3))+(AS8*$AU$3)</f>
        <v>0.20909090909090911</v>
      </c>
      <c r="AX8" s="886">
        <f>(AO8*(1-$AU$3))+(AT8*$AU$3)</f>
        <v>0</v>
      </c>
      <c r="AY8" s="1119"/>
    </row>
    <row r="9" spans="1:51" ht="15">
      <c r="A9" s="1108"/>
      <c r="B9" s="950" t="s">
        <v>1275</v>
      </c>
      <c r="C9" s="951"/>
      <c r="D9" s="952" t="s">
        <v>138</v>
      </c>
      <c r="E9" s="928">
        <v>61</v>
      </c>
      <c r="F9" s="953">
        <v>1</v>
      </c>
      <c r="G9" s="954">
        <v>1.2</v>
      </c>
      <c r="H9" s="955">
        <v>1.0435713888888887E-2</v>
      </c>
      <c r="I9" s="956">
        <v>0.8559999999999981</v>
      </c>
      <c r="J9" s="956">
        <v>20.368266666666663</v>
      </c>
      <c r="K9" s="956">
        <v>0.82200000000000006</v>
      </c>
      <c r="L9" s="944">
        <v>0</v>
      </c>
      <c r="M9" s="934">
        <v>20.66</v>
      </c>
      <c r="N9" s="934">
        <v>0.1</v>
      </c>
      <c r="O9" s="934">
        <v>3.24</v>
      </c>
      <c r="P9" s="934">
        <v>0</v>
      </c>
      <c r="Q9" s="934">
        <v>0.15257142857142858</v>
      </c>
      <c r="R9" s="935">
        <f t="shared" si="0"/>
        <v>6.4746459117159638</v>
      </c>
      <c r="S9" s="898">
        <f t="shared" si="1"/>
        <v>8.73</v>
      </c>
      <c r="T9" s="898">
        <f t="shared" si="2"/>
        <v>6.1</v>
      </c>
      <c r="U9" s="898">
        <f t="shared" si="3"/>
        <v>3.04</v>
      </c>
      <c r="V9" s="898">
        <f t="shared" si="4"/>
        <v>1.29</v>
      </c>
      <c r="W9" s="945">
        <f t="shared" si="5"/>
        <v>0</v>
      </c>
      <c r="X9" s="656">
        <f t="shared" si="6"/>
        <v>1</v>
      </c>
      <c r="Y9" s="656">
        <f t="shared" si="6"/>
        <v>0</v>
      </c>
      <c r="Z9" s="656">
        <f t="shared" si="6"/>
        <v>0</v>
      </c>
      <c r="AA9" s="656">
        <f t="shared" si="6"/>
        <v>0</v>
      </c>
      <c r="AB9" s="946">
        <f t="shared" si="6"/>
        <v>0</v>
      </c>
      <c r="AC9" s="1108"/>
      <c r="AD9" s="1079" t="s">
        <v>108</v>
      </c>
      <c r="AE9" s="938">
        <f t="shared" si="18"/>
        <v>4</v>
      </c>
      <c r="AF9" s="947" t="s">
        <v>283</v>
      </c>
      <c r="AG9" s="708" t="str">
        <f t="shared" si="7"/>
        <v>-</v>
      </c>
      <c r="AH9" s="708" t="str">
        <f t="shared" si="8"/>
        <v>-</v>
      </c>
      <c r="AI9" s="708" t="str">
        <f t="shared" si="9"/>
        <v>-</v>
      </c>
      <c r="AJ9" s="708" t="str">
        <f t="shared" si="10"/>
        <v>-</v>
      </c>
      <c r="AK9" s="709">
        <f t="shared" si="11"/>
        <v>1</v>
      </c>
      <c r="AL9" s="941" t="str">
        <f t="shared" si="12"/>
        <v xml:space="preserve"> </v>
      </c>
      <c r="AM9" s="708" t="str">
        <f t="shared" si="13"/>
        <v xml:space="preserve"> </v>
      </c>
      <c r="AN9" s="708" t="str">
        <f t="shared" si="14"/>
        <v xml:space="preserve"> </v>
      </c>
      <c r="AO9" s="709" t="str">
        <f t="shared" si="15"/>
        <v xml:space="preserve"> </v>
      </c>
      <c r="AP9" s="1131" t="s">
        <v>283</v>
      </c>
      <c r="AQ9" s="883"/>
      <c r="AR9" s="883"/>
      <c r="AS9" s="883" t="str">
        <f t="shared" si="16"/>
        <v xml:space="preserve"> </v>
      </c>
      <c r="AT9" s="884" t="str">
        <f t="shared" si="17"/>
        <v xml:space="preserve"> </v>
      </c>
      <c r="AU9" s="883"/>
      <c r="AV9" s="883"/>
      <c r="AW9" s="883"/>
      <c r="AX9" s="884"/>
      <c r="AY9" s="1119"/>
    </row>
    <row r="10" spans="1:51" ht="15">
      <c r="A10" s="1108"/>
      <c r="B10" s="957" t="s">
        <v>1276</v>
      </c>
      <c r="C10" s="927"/>
      <c r="D10" s="928" t="s">
        <v>138</v>
      </c>
      <c r="E10" s="928">
        <v>61</v>
      </c>
      <c r="F10" s="929">
        <v>1</v>
      </c>
      <c r="G10" s="930">
        <v>1.2</v>
      </c>
      <c r="H10" s="958">
        <v>0.47801277499992062</v>
      </c>
      <c r="I10" s="959">
        <v>0.96999999999999886</v>
      </c>
      <c r="J10" s="959">
        <v>23.67049999999999</v>
      </c>
      <c r="K10" s="959">
        <v>1.0616842105263158</v>
      </c>
      <c r="L10" s="944">
        <v>0</v>
      </c>
      <c r="M10" s="934">
        <v>20.66</v>
      </c>
      <c r="N10" s="934">
        <v>0.1</v>
      </c>
      <c r="O10" s="934">
        <v>3.24</v>
      </c>
      <c r="P10" s="934">
        <v>0</v>
      </c>
      <c r="Q10" s="934">
        <v>0.15257142857142858</v>
      </c>
      <c r="R10" s="935">
        <f t="shared" si="0"/>
        <v>7.3485510122627069</v>
      </c>
      <c r="S10" s="898">
        <f t="shared" si="1"/>
        <v>8.73</v>
      </c>
      <c r="T10" s="898">
        <f t="shared" si="2"/>
        <v>6.1</v>
      </c>
      <c r="U10" s="898">
        <f t="shared" si="3"/>
        <v>3.04</v>
      </c>
      <c r="V10" s="898">
        <f t="shared" si="4"/>
        <v>1.29</v>
      </c>
      <c r="W10" s="945">
        <f t="shared" si="5"/>
        <v>0</v>
      </c>
      <c r="X10" s="656">
        <f t="shared" si="6"/>
        <v>1</v>
      </c>
      <c r="Y10" s="656">
        <f t="shared" si="6"/>
        <v>0</v>
      </c>
      <c r="Z10" s="656">
        <f t="shared" si="6"/>
        <v>0</v>
      </c>
      <c r="AA10" s="656">
        <f t="shared" si="6"/>
        <v>0</v>
      </c>
      <c r="AB10" s="946">
        <f t="shared" si="6"/>
        <v>0</v>
      </c>
      <c r="AC10" s="1108"/>
      <c r="AD10" s="1079" t="s">
        <v>109</v>
      </c>
      <c r="AE10" s="938">
        <f t="shared" si="18"/>
        <v>5</v>
      </c>
      <c r="AF10" s="947" t="s">
        <v>283</v>
      </c>
      <c r="AG10" s="708" t="str">
        <f t="shared" si="7"/>
        <v>-</v>
      </c>
      <c r="AH10" s="708" t="str">
        <f t="shared" si="8"/>
        <v>-</v>
      </c>
      <c r="AI10" s="708" t="str">
        <f t="shared" si="9"/>
        <v>-</v>
      </c>
      <c r="AJ10" s="708" t="str">
        <f t="shared" si="10"/>
        <v>-</v>
      </c>
      <c r="AK10" s="709">
        <f t="shared" si="11"/>
        <v>1</v>
      </c>
      <c r="AL10" s="941" t="str">
        <f t="shared" si="12"/>
        <v xml:space="preserve"> </v>
      </c>
      <c r="AM10" s="708" t="str">
        <f t="shared" si="13"/>
        <v xml:space="preserve"> </v>
      </c>
      <c r="AN10" s="708" t="str">
        <f t="shared" si="14"/>
        <v xml:space="preserve"> </v>
      </c>
      <c r="AO10" s="709" t="str">
        <f t="shared" si="15"/>
        <v xml:space="preserve"> </v>
      </c>
      <c r="AP10" s="1131" t="s">
        <v>283</v>
      </c>
      <c r="AQ10" s="883"/>
      <c r="AR10" s="883"/>
      <c r="AS10" s="883" t="str">
        <f t="shared" si="16"/>
        <v xml:space="preserve"> </v>
      </c>
      <c r="AT10" s="884" t="str">
        <f t="shared" si="17"/>
        <v xml:space="preserve"> </v>
      </c>
      <c r="AU10" s="883"/>
      <c r="AV10" s="883"/>
      <c r="AW10" s="883"/>
      <c r="AX10" s="884"/>
      <c r="AY10" s="1119"/>
    </row>
    <row r="11" spans="1:51" ht="15">
      <c r="A11" s="1109"/>
      <c r="B11" s="957" t="s">
        <v>1277</v>
      </c>
      <c r="C11" s="927"/>
      <c r="D11" s="928" t="s">
        <v>138</v>
      </c>
      <c r="E11" s="928">
        <v>61</v>
      </c>
      <c r="F11" s="929">
        <v>1</v>
      </c>
      <c r="G11" s="930">
        <v>1.2</v>
      </c>
      <c r="H11" s="958">
        <v>0.79398596666669186</v>
      </c>
      <c r="I11" s="959">
        <v>0.89910000000000068</v>
      </c>
      <c r="J11" s="959">
        <v>21.832360000000008</v>
      </c>
      <c r="K11" s="959">
        <v>0.64537181663837018</v>
      </c>
      <c r="L11" s="944">
        <v>0</v>
      </c>
      <c r="M11" s="934">
        <v>20.66</v>
      </c>
      <c r="N11" s="934">
        <v>0.1</v>
      </c>
      <c r="O11" s="934">
        <v>3.24</v>
      </c>
      <c r="P11" s="934">
        <v>0</v>
      </c>
      <c r="Q11" s="934">
        <v>0.15257142857142858</v>
      </c>
      <c r="R11" s="935">
        <f t="shared" si="0"/>
        <v>6.7735059866893037</v>
      </c>
      <c r="S11" s="898">
        <f t="shared" si="1"/>
        <v>8.73</v>
      </c>
      <c r="T11" s="898">
        <f t="shared" si="2"/>
        <v>6.1</v>
      </c>
      <c r="U11" s="898">
        <f t="shared" si="3"/>
        <v>3.04</v>
      </c>
      <c r="V11" s="898">
        <f t="shared" si="4"/>
        <v>1.29</v>
      </c>
      <c r="W11" s="945">
        <f t="shared" si="5"/>
        <v>0</v>
      </c>
      <c r="X11" s="656">
        <f t="shared" si="6"/>
        <v>1</v>
      </c>
      <c r="Y11" s="656">
        <f t="shared" si="6"/>
        <v>0</v>
      </c>
      <c r="Z11" s="656">
        <f t="shared" si="6"/>
        <v>0</v>
      </c>
      <c r="AA11" s="656">
        <f t="shared" si="6"/>
        <v>0</v>
      </c>
      <c r="AB11" s="946">
        <f t="shared" si="6"/>
        <v>0</v>
      </c>
      <c r="AC11" s="1108"/>
      <c r="AD11" s="1080" t="s">
        <v>99</v>
      </c>
      <c r="AE11" s="12">
        <f t="shared" si="18"/>
        <v>6</v>
      </c>
      <c r="AF11" s="949" t="s">
        <v>236</v>
      </c>
      <c r="AG11" s="698">
        <f t="shared" si="7"/>
        <v>0.13235294117647059</v>
      </c>
      <c r="AH11" s="698">
        <f t="shared" si="8"/>
        <v>0.23529411764705882</v>
      </c>
      <c r="AI11" s="698">
        <f t="shared" si="9"/>
        <v>0.33823529411764708</v>
      </c>
      <c r="AJ11" s="698">
        <f t="shared" si="10"/>
        <v>7.3529411764705885E-2</v>
      </c>
      <c r="AK11" s="710">
        <f t="shared" si="11"/>
        <v>0.22058823529411764</v>
      </c>
      <c r="AL11" s="891">
        <f t="shared" si="12"/>
        <v>0.3529411764705882</v>
      </c>
      <c r="AM11" s="698">
        <f t="shared" si="13"/>
        <v>0.23529411764705882</v>
      </c>
      <c r="AN11" s="698">
        <f t="shared" si="14"/>
        <v>0.33823529411764708</v>
      </c>
      <c r="AO11" s="710">
        <f t="shared" si="15"/>
        <v>7.3529411764705885E-2</v>
      </c>
      <c r="AP11" s="885">
        <v>2</v>
      </c>
      <c r="AQ11" s="877">
        <v>0</v>
      </c>
      <c r="AR11" s="877">
        <v>0</v>
      </c>
      <c r="AS11" s="877">
        <f t="shared" si="16"/>
        <v>0.92647058823529416</v>
      </c>
      <c r="AT11" s="886">
        <f t="shared" si="17"/>
        <v>7.3529411764705885E-2</v>
      </c>
      <c r="AU11" s="877">
        <f>(AL11*(1-$AU$3))+(AQ11*$AU$3)</f>
        <v>0.30705882352941172</v>
      </c>
      <c r="AV11" s="877">
        <f>(AM11*(1-$AU$3))+(AR11*$AU$3)</f>
        <v>0.20470588235294118</v>
      </c>
      <c r="AW11" s="877">
        <f>(AN11*(1-$AU$3))+(AS11*$AU$3)</f>
        <v>0.41470588235294126</v>
      </c>
      <c r="AX11" s="886">
        <f>(AO11*(1-$AU$3))+(AT11*$AU$3)</f>
        <v>7.3529411764705899E-2</v>
      </c>
      <c r="AY11" s="1119"/>
    </row>
    <row r="12" spans="1:51" ht="15">
      <c r="A12" s="1108"/>
      <c r="B12" s="957" t="s">
        <v>1278</v>
      </c>
      <c r="C12" s="927"/>
      <c r="D12" s="928" t="s">
        <v>138</v>
      </c>
      <c r="E12" s="928">
        <v>61</v>
      </c>
      <c r="F12" s="929">
        <v>1</v>
      </c>
      <c r="G12" s="930">
        <v>1.2</v>
      </c>
      <c r="H12" s="958">
        <v>0.87289825555544864</v>
      </c>
      <c r="I12" s="959">
        <v>0.67800000000000082</v>
      </c>
      <c r="J12" s="959">
        <v>16.676300000000008</v>
      </c>
      <c r="K12" s="959">
        <v>0.47702400000000006</v>
      </c>
      <c r="L12" s="944">
        <v>0</v>
      </c>
      <c r="M12" s="934">
        <v>20.66</v>
      </c>
      <c r="N12" s="934">
        <v>0.1</v>
      </c>
      <c r="O12" s="934">
        <v>3.24</v>
      </c>
      <c r="P12" s="934">
        <v>0</v>
      </c>
      <c r="Q12" s="934">
        <v>0.15257142857142858</v>
      </c>
      <c r="R12" s="935">
        <f t="shared" si="0"/>
        <v>5.1040460085742021</v>
      </c>
      <c r="S12" s="898">
        <f t="shared" si="1"/>
        <v>8.73</v>
      </c>
      <c r="T12" s="898">
        <f t="shared" si="2"/>
        <v>6.1</v>
      </c>
      <c r="U12" s="898">
        <f t="shared" si="3"/>
        <v>3.04</v>
      </c>
      <c r="V12" s="898">
        <f t="shared" si="4"/>
        <v>1.29</v>
      </c>
      <c r="W12" s="945">
        <f t="shared" si="5"/>
        <v>0</v>
      </c>
      <c r="X12" s="656">
        <f t="shared" si="6"/>
        <v>1</v>
      </c>
      <c r="Y12" s="656">
        <f t="shared" si="6"/>
        <v>1</v>
      </c>
      <c r="Z12" s="656">
        <f t="shared" si="6"/>
        <v>0</v>
      </c>
      <c r="AA12" s="656">
        <f t="shared" si="6"/>
        <v>0</v>
      </c>
      <c r="AB12" s="946">
        <f t="shared" si="6"/>
        <v>0</v>
      </c>
      <c r="AC12" s="1108"/>
      <c r="AD12" s="1079" t="s">
        <v>222</v>
      </c>
      <c r="AE12" s="938">
        <f t="shared" si="18"/>
        <v>7</v>
      </c>
      <c r="AF12" s="947" t="s">
        <v>283</v>
      </c>
      <c r="AG12" s="708" t="str">
        <f t="shared" si="7"/>
        <v>-</v>
      </c>
      <c r="AH12" s="708" t="str">
        <f t="shared" si="8"/>
        <v>-</v>
      </c>
      <c r="AI12" s="708" t="str">
        <f t="shared" si="9"/>
        <v>-</v>
      </c>
      <c r="AJ12" s="708" t="str">
        <f t="shared" si="10"/>
        <v>-</v>
      </c>
      <c r="AK12" s="709">
        <f t="shared" si="11"/>
        <v>1</v>
      </c>
      <c r="AL12" s="941" t="str">
        <f t="shared" si="12"/>
        <v xml:space="preserve"> </v>
      </c>
      <c r="AM12" s="708" t="str">
        <f t="shared" si="13"/>
        <v xml:space="preserve"> </v>
      </c>
      <c r="AN12" s="708" t="str">
        <f t="shared" si="14"/>
        <v xml:space="preserve"> </v>
      </c>
      <c r="AO12" s="709" t="str">
        <f t="shared" si="15"/>
        <v xml:space="preserve"> </v>
      </c>
      <c r="AP12" s="1131" t="s">
        <v>283</v>
      </c>
      <c r="AQ12" s="883"/>
      <c r="AR12" s="883"/>
      <c r="AS12" s="883" t="str">
        <f t="shared" si="16"/>
        <v xml:space="preserve"> </v>
      </c>
      <c r="AT12" s="884" t="str">
        <f t="shared" si="17"/>
        <v xml:space="preserve"> </v>
      </c>
      <c r="AU12" s="883"/>
      <c r="AV12" s="883"/>
      <c r="AW12" s="883"/>
      <c r="AX12" s="884"/>
      <c r="AY12" s="1119"/>
    </row>
    <row r="13" spans="1:51" ht="15">
      <c r="A13" s="1108"/>
      <c r="B13" s="957" t="s">
        <v>1279</v>
      </c>
      <c r="C13" s="927"/>
      <c r="D13" s="928" t="s">
        <v>138</v>
      </c>
      <c r="E13" s="928">
        <v>61</v>
      </c>
      <c r="F13" s="929">
        <v>1</v>
      </c>
      <c r="G13" s="930">
        <v>2.4</v>
      </c>
      <c r="H13" s="958">
        <v>1.2966925416666004</v>
      </c>
      <c r="I13" s="959">
        <v>0.9740000000000002</v>
      </c>
      <c r="J13" s="959">
        <v>23.712233333333334</v>
      </c>
      <c r="K13" s="959">
        <v>0.83208000000000004</v>
      </c>
      <c r="L13" s="944">
        <v>0</v>
      </c>
      <c r="M13" s="934">
        <v>20.66</v>
      </c>
      <c r="N13" s="934">
        <v>0.1</v>
      </c>
      <c r="O13" s="934">
        <v>3.24</v>
      </c>
      <c r="P13" s="934">
        <v>0</v>
      </c>
      <c r="Q13" s="934">
        <v>0.15257142857142858</v>
      </c>
      <c r="R13" s="935">
        <f t="shared" si="0"/>
        <v>7.3217209187725043</v>
      </c>
      <c r="S13" s="898">
        <f t="shared" si="1"/>
        <v>8.73</v>
      </c>
      <c r="T13" s="898">
        <f t="shared" si="2"/>
        <v>6.1</v>
      </c>
      <c r="U13" s="898">
        <f t="shared" si="3"/>
        <v>3.04</v>
      </c>
      <c r="V13" s="898">
        <f t="shared" si="4"/>
        <v>1.29</v>
      </c>
      <c r="W13" s="945">
        <f t="shared" si="5"/>
        <v>0</v>
      </c>
      <c r="X13" s="656">
        <f t="shared" si="6"/>
        <v>1</v>
      </c>
      <c r="Y13" s="656">
        <f t="shared" si="6"/>
        <v>0</v>
      </c>
      <c r="Z13" s="656">
        <f t="shared" si="6"/>
        <v>0</v>
      </c>
      <c r="AA13" s="656">
        <f t="shared" si="6"/>
        <v>0</v>
      </c>
      <c r="AB13" s="946">
        <f t="shared" si="6"/>
        <v>0</v>
      </c>
      <c r="AC13" s="1108"/>
      <c r="AD13" s="1080" t="s">
        <v>296</v>
      </c>
      <c r="AE13" s="12">
        <f t="shared" si="18"/>
        <v>8</v>
      </c>
      <c r="AF13" s="949" t="s">
        <v>236</v>
      </c>
      <c r="AG13" s="698">
        <f t="shared" si="7"/>
        <v>0.13235294117647059</v>
      </c>
      <c r="AH13" s="698">
        <f t="shared" si="8"/>
        <v>0.23529411764705882</v>
      </c>
      <c r="AI13" s="698">
        <f t="shared" si="9"/>
        <v>0.33823529411764708</v>
      </c>
      <c r="AJ13" s="698">
        <f t="shared" si="10"/>
        <v>7.3529411764705885E-2</v>
      </c>
      <c r="AK13" s="710">
        <f t="shared" si="11"/>
        <v>0.22058823529411764</v>
      </c>
      <c r="AL13" s="891">
        <f t="shared" si="12"/>
        <v>0.3529411764705882</v>
      </c>
      <c r="AM13" s="698">
        <f t="shared" si="13"/>
        <v>0.23529411764705882</v>
      </c>
      <c r="AN13" s="698">
        <f t="shared" si="14"/>
        <v>0.33823529411764708</v>
      </c>
      <c r="AO13" s="710">
        <f t="shared" si="15"/>
        <v>7.3529411764705885E-2</v>
      </c>
      <c r="AP13" s="885">
        <v>2</v>
      </c>
      <c r="AQ13" s="877">
        <v>0</v>
      </c>
      <c r="AR13" s="877">
        <v>0</v>
      </c>
      <c r="AS13" s="877">
        <f t="shared" si="16"/>
        <v>0.92647058823529416</v>
      </c>
      <c r="AT13" s="886">
        <f t="shared" si="17"/>
        <v>7.3529411764705885E-2</v>
      </c>
      <c r="AU13" s="877">
        <f t="shared" ref="AU13:AX18" si="19">(AL13*(1-$AU$3))+(AQ13*$AU$3)</f>
        <v>0.30705882352941172</v>
      </c>
      <c r="AV13" s="877">
        <f t="shared" si="19"/>
        <v>0.20470588235294118</v>
      </c>
      <c r="AW13" s="877">
        <f t="shared" si="19"/>
        <v>0.41470588235294126</v>
      </c>
      <c r="AX13" s="886">
        <f t="shared" si="19"/>
        <v>7.3529411764705899E-2</v>
      </c>
      <c r="AY13" s="1119"/>
    </row>
    <row r="14" spans="1:51" ht="15">
      <c r="A14" s="1108"/>
      <c r="B14" s="957" t="s">
        <v>1280</v>
      </c>
      <c r="C14" s="927"/>
      <c r="D14" s="928" t="s">
        <v>138</v>
      </c>
      <c r="E14" s="928">
        <v>61</v>
      </c>
      <c r="F14" s="929">
        <v>1</v>
      </c>
      <c r="G14" s="930">
        <v>3.6</v>
      </c>
      <c r="H14" s="958">
        <v>1.8145390694444707</v>
      </c>
      <c r="I14" s="959">
        <v>0.31129333333333342</v>
      </c>
      <c r="J14" s="959">
        <v>10.245451555555556</v>
      </c>
      <c r="K14" s="959">
        <v>0.185256</v>
      </c>
      <c r="L14" s="944">
        <v>0</v>
      </c>
      <c r="M14" s="934">
        <v>20.66</v>
      </c>
      <c r="N14" s="934">
        <v>0.1</v>
      </c>
      <c r="O14" s="934">
        <v>3.24</v>
      </c>
      <c r="P14" s="934">
        <v>0</v>
      </c>
      <c r="Q14" s="934">
        <v>0.15257142857142858</v>
      </c>
      <c r="R14" s="935">
        <f t="shared" si="0"/>
        <v>2.4076476688384516</v>
      </c>
      <c r="S14" s="898">
        <f t="shared" si="1"/>
        <v>8.73</v>
      </c>
      <c r="T14" s="898">
        <f t="shared" si="2"/>
        <v>6.1</v>
      </c>
      <c r="U14" s="898">
        <f t="shared" si="3"/>
        <v>3.04</v>
      </c>
      <c r="V14" s="898">
        <f t="shared" si="4"/>
        <v>1.29</v>
      </c>
      <c r="W14" s="945">
        <f t="shared" si="5"/>
        <v>0</v>
      </c>
      <c r="X14" s="656">
        <f t="shared" si="6"/>
        <v>1</v>
      </c>
      <c r="Y14" s="656">
        <f t="shared" si="6"/>
        <v>1</v>
      </c>
      <c r="Z14" s="656">
        <f t="shared" si="6"/>
        <v>1</v>
      </c>
      <c r="AA14" s="656">
        <f t="shared" si="6"/>
        <v>0</v>
      </c>
      <c r="AB14" s="946">
        <f t="shared" si="6"/>
        <v>0</v>
      </c>
      <c r="AC14" s="1108"/>
      <c r="AD14" s="1080" t="s">
        <v>223</v>
      </c>
      <c r="AE14" s="12">
        <f t="shared" si="18"/>
        <v>9</v>
      </c>
      <c r="AF14" s="949" t="s">
        <v>223</v>
      </c>
      <c r="AG14" s="698">
        <f t="shared" si="7"/>
        <v>0.1</v>
      </c>
      <c r="AH14" s="698">
        <f t="shared" si="8"/>
        <v>0.4</v>
      </c>
      <c r="AI14" s="698">
        <f t="shared" si="9"/>
        <v>0.1</v>
      </c>
      <c r="AJ14" s="698">
        <f t="shared" si="10"/>
        <v>0</v>
      </c>
      <c r="AK14" s="710">
        <f t="shared" si="11"/>
        <v>0.4</v>
      </c>
      <c r="AL14" s="891">
        <f t="shared" si="12"/>
        <v>0.5</v>
      </c>
      <c r="AM14" s="698">
        <f t="shared" si="13"/>
        <v>0.4</v>
      </c>
      <c r="AN14" s="698">
        <f t="shared" si="14"/>
        <v>0.1</v>
      </c>
      <c r="AO14" s="710">
        <f t="shared" si="15"/>
        <v>0</v>
      </c>
      <c r="AP14" s="885">
        <v>2</v>
      </c>
      <c r="AQ14" s="877">
        <v>0</v>
      </c>
      <c r="AR14" s="877">
        <v>0</v>
      </c>
      <c r="AS14" s="877">
        <f t="shared" si="16"/>
        <v>1</v>
      </c>
      <c r="AT14" s="886">
        <f t="shared" si="17"/>
        <v>0</v>
      </c>
      <c r="AU14" s="877">
        <f t="shared" si="19"/>
        <v>0.435</v>
      </c>
      <c r="AV14" s="877">
        <f t="shared" si="19"/>
        <v>0.34800000000000003</v>
      </c>
      <c r="AW14" s="877">
        <f t="shared" si="19"/>
        <v>0.21700000000000003</v>
      </c>
      <c r="AX14" s="886">
        <f t="shared" si="19"/>
        <v>0</v>
      </c>
      <c r="AY14" s="1119"/>
    </row>
    <row r="15" spans="1:51" ht="15">
      <c r="A15" s="1108"/>
      <c r="B15" s="961">
        <v>114</v>
      </c>
      <c r="C15" s="962"/>
      <c r="D15" s="928" t="s">
        <v>1281</v>
      </c>
      <c r="E15" s="928">
        <v>27</v>
      </c>
      <c r="F15" s="929">
        <v>2</v>
      </c>
      <c r="G15" s="930">
        <v>3.6</v>
      </c>
      <c r="H15" s="942">
        <v>0.37992500000000001</v>
      </c>
      <c r="I15" s="943">
        <v>9.9699999999999997E-2</v>
      </c>
      <c r="J15" s="943">
        <v>3.0554999999999999</v>
      </c>
      <c r="K15" s="943">
        <v>4.4783879999999998E-2</v>
      </c>
      <c r="L15" s="944">
        <v>0</v>
      </c>
      <c r="M15" s="934">
        <v>9.0747958425229243</v>
      </c>
      <c r="N15" s="934">
        <v>4.5870922042189397</v>
      </c>
      <c r="O15" s="934">
        <v>10.338111953258133</v>
      </c>
      <c r="P15" s="934">
        <v>0</v>
      </c>
      <c r="Q15" s="934">
        <v>0.55788039859392347</v>
      </c>
      <c r="R15" s="935">
        <f t="shared" si="0"/>
        <v>0.4627979401426322</v>
      </c>
      <c r="S15" s="898">
        <f t="shared" si="1"/>
        <v>8.3802401600000014</v>
      </c>
      <c r="T15" s="898">
        <f t="shared" si="2"/>
        <v>6.1606580774999999</v>
      </c>
      <c r="U15" s="898">
        <f t="shared" si="3"/>
        <v>2.8146791800000002</v>
      </c>
      <c r="V15" s="898">
        <f t="shared" si="4"/>
        <v>0.75467918000000001</v>
      </c>
      <c r="W15" s="945">
        <f t="shared" si="5"/>
        <v>2.3566167975000001</v>
      </c>
      <c r="X15" s="656">
        <f t="shared" si="6"/>
        <v>1</v>
      </c>
      <c r="Y15" s="656">
        <f t="shared" si="6"/>
        <v>1</v>
      </c>
      <c r="Z15" s="656">
        <f t="shared" si="6"/>
        <v>1</v>
      </c>
      <c r="AA15" s="656">
        <f t="shared" si="6"/>
        <v>1</v>
      </c>
      <c r="AB15" s="946">
        <f t="shared" si="6"/>
        <v>1</v>
      </c>
      <c r="AC15" s="1108"/>
      <c r="AD15" s="1080" t="s">
        <v>224</v>
      </c>
      <c r="AE15" s="12">
        <f t="shared" si="18"/>
        <v>10</v>
      </c>
      <c r="AF15" s="949" t="s">
        <v>236</v>
      </c>
      <c r="AG15" s="698">
        <f t="shared" si="7"/>
        <v>0.13235294117647059</v>
      </c>
      <c r="AH15" s="698">
        <f t="shared" si="8"/>
        <v>0.23529411764705882</v>
      </c>
      <c r="AI15" s="698">
        <f t="shared" si="9"/>
        <v>0.33823529411764708</v>
      </c>
      <c r="AJ15" s="698">
        <f t="shared" si="10"/>
        <v>7.3529411764705885E-2</v>
      </c>
      <c r="AK15" s="710">
        <f t="shared" si="11"/>
        <v>0.22058823529411764</v>
      </c>
      <c r="AL15" s="891">
        <f t="shared" si="12"/>
        <v>0.3529411764705882</v>
      </c>
      <c r="AM15" s="698">
        <f t="shared" si="13"/>
        <v>0.23529411764705882</v>
      </c>
      <c r="AN15" s="698">
        <f t="shared" si="14"/>
        <v>0.33823529411764708</v>
      </c>
      <c r="AO15" s="710">
        <f t="shared" si="15"/>
        <v>7.3529411764705885E-2</v>
      </c>
      <c r="AP15" s="885">
        <v>2</v>
      </c>
      <c r="AQ15" s="877">
        <v>0</v>
      </c>
      <c r="AR15" s="877">
        <v>0</v>
      </c>
      <c r="AS15" s="877">
        <f t="shared" si="16"/>
        <v>0.92647058823529416</v>
      </c>
      <c r="AT15" s="886">
        <f t="shared" si="17"/>
        <v>7.3529411764705885E-2</v>
      </c>
      <c r="AU15" s="877">
        <f t="shared" si="19"/>
        <v>0.30705882352941172</v>
      </c>
      <c r="AV15" s="877">
        <f t="shared" si="19"/>
        <v>0.20470588235294118</v>
      </c>
      <c r="AW15" s="877">
        <f t="shared" si="19"/>
        <v>0.41470588235294126</v>
      </c>
      <c r="AX15" s="886">
        <f t="shared" si="19"/>
        <v>7.3529411764705899E-2</v>
      </c>
      <c r="AY15" s="1119"/>
    </row>
    <row r="16" spans="1:51" ht="15">
      <c r="A16" s="1108"/>
      <c r="B16" s="963" t="s">
        <v>1282</v>
      </c>
      <c r="C16" s="927"/>
      <c r="D16" s="964" t="s">
        <v>1283</v>
      </c>
      <c r="E16" s="964">
        <v>47</v>
      </c>
      <c r="F16" s="929">
        <v>2</v>
      </c>
      <c r="G16" s="930">
        <v>2.4</v>
      </c>
      <c r="H16" s="958">
        <v>1.8704624194444948</v>
      </c>
      <c r="I16" s="959">
        <v>0.53599999999999959</v>
      </c>
      <c r="J16" s="959">
        <v>13.36238</v>
      </c>
      <c r="K16" s="959">
        <v>0.32132624356775302</v>
      </c>
      <c r="L16" s="944">
        <v>0</v>
      </c>
      <c r="M16" s="934">
        <v>9.0747958425229243</v>
      </c>
      <c r="N16" s="934">
        <v>4.5870922042189397</v>
      </c>
      <c r="O16" s="934">
        <v>10.338111953258133</v>
      </c>
      <c r="P16" s="934">
        <v>0</v>
      </c>
      <c r="Q16" s="934">
        <v>0.55788039859392347</v>
      </c>
      <c r="R16" s="935">
        <f t="shared" si="0"/>
        <v>2.0339938138644591</v>
      </c>
      <c r="S16" s="898">
        <f t="shared" si="1"/>
        <v>8.6950416629866787</v>
      </c>
      <c r="T16" s="898">
        <f t="shared" si="2"/>
        <v>6.4770991716480664</v>
      </c>
      <c r="U16" s="898">
        <f t="shared" si="3"/>
        <v>2.9899663805266727</v>
      </c>
      <c r="V16" s="898">
        <f t="shared" si="4"/>
        <v>0.92996638052667258</v>
      </c>
      <c r="W16" s="945">
        <f t="shared" si="5"/>
        <v>2.5395057388658397</v>
      </c>
      <c r="X16" s="656">
        <f t="shared" si="6"/>
        <v>1</v>
      </c>
      <c r="Y16" s="656">
        <f t="shared" si="6"/>
        <v>1</v>
      </c>
      <c r="Z16" s="656">
        <f t="shared" si="6"/>
        <v>1</v>
      </c>
      <c r="AA16" s="656">
        <f t="shared" si="6"/>
        <v>0</v>
      </c>
      <c r="AB16" s="946">
        <f t="shared" si="6"/>
        <v>1</v>
      </c>
      <c r="AC16" s="1108"/>
      <c r="AD16" s="1080" t="s">
        <v>153</v>
      </c>
      <c r="AE16" s="12">
        <f t="shared" si="18"/>
        <v>11</v>
      </c>
      <c r="AF16" s="949" t="s">
        <v>154</v>
      </c>
      <c r="AG16" s="698">
        <f t="shared" si="7"/>
        <v>0</v>
      </c>
      <c r="AH16" s="698">
        <f t="shared" si="8"/>
        <v>0.375</v>
      </c>
      <c r="AI16" s="698">
        <f t="shared" si="9"/>
        <v>0.625</v>
      </c>
      <c r="AJ16" s="698">
        <f t="shared" si="10"/>
        <v>0</v>
      </c>
      <c r="AK16" s="710">
        <f t="shared" si="11"/>
        <v>0</v>
      </c>
      <c r="AL16" s="891">
        <f t="shared" si="12"/>
        <v>0</v>
      </c>
      <c r="AM16" s="698">
        <f t="shared" si="13"/>
        <v>0.375</v>
      </c>
      <c r="AN16" s="698">
        <f t="shared" si="14"/>
        <v>0.625</v>
      </c>
      <c r="AO16" s="710">
        <f t="shared" si="15"/>
        <v>0</v>
      </c>
      <c r="AP16" s="885">
        <v>2</v>
      </c>
      <c r="AQ16" s="877">
        <v>0</v>
      </c>
      <c r="AR16" s="877">
        <v>0</v>
      </c>
      <c r="AS16" s="877">
        <f t="shared" si="16"/>
        <v>1</v>
      </c>
      <c r="AT16" s="886">
        <f t="shared" si="17"/>
        <v>0</v>
      </c>
      <c r="AU16" s="877">
        <f t="shared" si="19"/>
        <v>0</v>
      </c>
      <c r="AV16" s="877">
        <f t="shared" si="19"/>
        <v>0.32624999999999998</v>
      </c>
      <c r="AW16" s="877">
        <f t="shared" si="19"/>
        <v>0.67374999999999996</v>
      </c>
      <c r="AX16" s="886">
        <f t="shared" si="19"/>
        <v>0</v>
      </c>
      <c r="AY16" s="1119"/>
    </row>
    <row r="17" spans="1:51" ht="15">
      <c r="A17" s="1108"/>
      <c r="B17" s="961">
        <v>22</v>
      </c>
      <c r="C17" s="927"/>
      <c r="D17" s="928" t="s">
        <v>1284</v>
      </c>
      <c r="E17" s="928">
        <v>59</v>
      </c>
      <c r="F17" s="929">
        <v>2</v>
      </c>
      <c r="G17" s="930">
        <v>3.6</v>
      </c>
      <c r="H17" s="942">
        <v>4.5024850000000001</v>
      </c>
      <c r="I17" s="943">
        <v>2.46835</v>
      </c>
      <c r="J17" s="943">
        <v>59.874569999999999</v>
      </c>
      <c r="K17" s="943">
        <v>0.4007694</v>
      </c>
      <c r="L17" s="944">
        <v>0</v>
      </c>
      <c r="M17" s="934">
        <v>9.0747958425229243</v>
      </c>
      <c r="N17" s="934">
        <v>4.5870922042189397</v>
      </c>
      <c r="O17" s="934">
        <v>10.338111953258133</v>
      </c>
      <c r="P17" s="934">
        <v>0</v>
      </c>
      <c r="Q17" s="934">
        <v>0.55788039859392347</v>
      </c>
      <c r="R17" s="935">
        <f t="shared" si="0"/>
        <v>8.0592297088954492</v>
      </c>
      <c r="S17" s="898">
        <f t="shared" si="1"/>
        <v>9.2509248320000008</v>
      </c>
      <c r="T17" s="898">
        <f t="shared" si="2"/>
        <v>7.0358775654999999</v>
      </c>
      <c r="U17" s="898">
        <f t="shared" si="3"/>
        <v>3.2994922359999999</v>
      </c>
      <c r="V17" s="898">
        <f t="shared" si="4"/>
        <v>1.2394922359999998</v>
      </c>
      <c r="W17" s="945">
        <f t="shared" si="5"/>
        <v>2.8624549095000003</v>
      </c>
      <c r="X17" s="656">
        <f t="shared" si="6"/>
        <v>1</v>
      </c>
      <c r="Y17" s="656">
        <f t="shared" si="6"/>
        <v>0</v>
      </c>
      <c r="Z17" s="656">
        <f t="shared" si="6"/>
        <v>0</v>
      </c>
      <c r="AA17" s="656">
        <f t="shared" si="6"/>
        <v>0</v>
      </c>
      <c r="AB17" s="946">
        <f t="shared" si="6"/>
        <v>0</v>
      </c>
      <c r="AC17" s="1108"/>
      <c r="AD17" s="1080" t="s">
        <v>154</v>
      </c>
      <c r="AE17" s="12">
        <f t="shared" si="18"/>
        <v>12</v>
      </c>
      <c r="AF17" s="949" t="s">
        <v>154</v>
      </c>
      <c r="AG17" s="698">
        <f t="shared" si="7"/>
        <v>0</v>
      </c>
      <c r="AH17" s="698">
        <f t="shared" si="8"/>
        <v>0.375</v>
      </c>
      <c r="AI17" s="698">
        <f t="shared" si="9"/>
        <v>0.625</v>
      </c>
      <c r="AJ17" s="698">
        <f t="shared" si="10"/>
        <v>0</v>
      </c>
      <c r="AK17" s="710">
        <f t="shared" si="11"/>
        <v>0</v>
      </c>
      <c r="AL17" s="891">
        <f t="shared" si="12"/>
        <v>0</v>
      </c>
      <c r="AM17" s="698">
        <f t="shared" si="13"/>
        <v>0.375</v>
      </c>
      <c r="AN17" s="698">
        <f t="shared" si="14"/>
        <v>0.625</v>
      </c>
      <c r="AO17" s="710">
        <f t="shared" si="15"/>
        <v>0</v>
      </c>
      <c r="AP17" s="885">
        <v>2</v>
      </c>
      <c r="AQ17" s="877">
        <v>0</v>
      </c>
      <c r="AR17" s="877">
        <v>0</v>
      </c>
      <c r="AS17" s="877">
        <f t="shared" si="16"/>
        <v>1</v>
      </c>
      <c r="AT17" s="886">
        <f t="shared" si="17"/>
        <v>0</v>
      </c>
      <c r="AU17" s="877">
        <f t="shared" si="19"/>
        <v>0</v>
      </c>
      <c r="AV17" s="877">
        <f t="shared" si="19"/>
        <v>0.32624999999999998</v>
      </c>
      <c r="AW17" s="877">
        <f t="shared" si="19"/>
        <v>0.67374999999999996</v>
      </c>
      <c r="AX17" s="886">
        <f t="shared" si="19"/>
        <v>0</v>
      </c>
      <c r="AY17" s="1119"/>
    </row>
    <row r="18" spans="1:51" ht="15">
      <c r="A18" s="1108"/>
      <c r="B18" s="965" t="s">
        <v>1285</v>
      </c>
      <c r="C18" s="966"/>
      <c r="D18" s="967" t="s">
        <v>1286</v>
      </c>
      <c r="E18" s="967">
        <v>32</v>
      </c>
      <c r="F18" s="968">
        <v>2</v>
      </c>
      <c r="G18" s="965">
        <v>3.6</v>
      </c>
      <c r="H18" s="958">
        <v>2.8858842999999741</v>
      </c>
      <c r="I18" s="959">
        <v>1.4329999999999998</v>
      </c>
      <c r="J18" s="959">
        <v>33.462877499999998</v>
      </c>
      <c r="K18" s="959">
        <v>0.28999999999999998</v>
      </c>
      <c r="L18" s="944">
        <v>0</v>
      </c>
      <c r="M18" s="934">
        <v>9.0747958425229243</v>
      </c>
      <c r="N18" s="934">
        <v>4.5870922042189397</v>
      </c>
      <c r="O18" s="934">
        <v>10.338111953258133</v>
      </c>
      <c r="P18" s="934">
        <v>0</v>
      </c>
      <c r="Q18" s="934">
        <v>0.55788039859392347</v>
      </c>
      <c r="R18" s="935">
        <f t="shared" si="0"/>
        <v>4.4552344085777618</v>
      </c>
      <c r="S18" s="898">
        <f t="shared" si="1"/>
        <v>8.909498764159995</v>
      </c>
      <c r="T18" s="898">
        <f t="shared" si="2"/>
        <v>6.6926732368899948</v>
      </c>
      <c r="U18" s="898">
        <f t="shared" si="3"/>
        <v>3.1093799936799971</v>
      </c>
      <c r="V18" s="898">
        <f t="shared" si="4"/>
        <v>1.049379993679997</v>
      </c>
      <c r="W18" s="945">
        <f t="shared" si="5"/>
        <v>2.6640980036099968</v>
      </c>
      <c r="X18" s="656">
        <f t="shared" si="6"/>
        <v>1</v>
      </c>
      <c r="Y18" s="656">
        <f t="shared" si="6"/>
        <v>1</v>
      </c>
      <c r="Z18" s="656">
        <f t="shared" si="6"/>
        <v>0</v>
      </c>
      <c r="AA18" s="656">
        <f t="shared" si="6"/>
        <v>0</v>
      </c>
      <c r="AB18" s="946">
        <f t="shared" si="6"/>
        <v>0</v>
      </c>
      <c r="AC18" s="1108"/>
      <c r="AD18" s="1080" t="s">
        <v>847</v>
      </c>
      <c r="AE18" s="12">
        <f t="shared" si="18"/>
        <v>13</v>
      </c>
      <c r="AF18" s="949" t="s">
        <v>154</v>
      </c>
      <c r="AG18" s="698">
        <f t="shared" si="7"/>
        <v>0</v>
      </c>
      <c r="AH18" s="698">
        <f t="shared" si="8"/>
        <v>0.375</v>
      </c>
      <c r="AI18" s="698">
        <f t="shared" si="9"/>
        <v>0.625</v>
      </c>
      <c r="AJ18" s="698">
        <f t="shared" si="10"/>
        <v>0</v>
      </c>
      <c r="AK18" s="710">
        <f t="shared" si="11"/>
        <v>0</v>
      </c>
      <c r="AL18" s="891">
        <f t="shared" si="12"/>
        <v>0</v>
      </c>
      <c r="AM18" s="698">
        <f t="shared" si="13"/>
        <v>0.375</v>
      </c>
      <c r="AN18" s="698">
        <f t="shared" si="14"/>
        <v>0.625</v>
      </c>
      <c r="AO18" s="710">
        <f t="shared" si="15"/>
        <v>0</v>
      </c>
      <c r="AP18" s="885">
        <v>2</v>
      </c>
      <c r="AQ18" s="877">
        <v>0</v>
      </c>
      <c r="AR18" s="877">
        <v>0</v>
      </c>
      <c r="AS18" s="877">
        <f t="shared" si="16"/>
        <v>1</v>
      </c>
      <c r="AT18" s="886">
        <f t="shared" si="17"/>
        <v>0</v>
      </c>
      <c r="AU18" s="877">
        <f t="shared" si="19"/>
        <v>0</v>
      </c>
      <c r="AV18" s="877">
        <f t="shared" si="19"/>
        <v>0.32624999999999998</v>
      </c>
      <c r="AW18" s="877">
        <f t="shared" si="19"/>
        <v>0.67374999999999996</v>
      </c>
      <c r="AX18" s="886">
        <f t="shared" si="19"/>
        <v>0</v>
      </c>
      <c r="AY18" s="1119"/>
    </row>
    <row r="19" spans="1:51" ht="15">
      <c r="A19" s="1108"/>
      <c r="B19" s="965" t="s">
        <v>1287</v>
      </c>
      <c r="C19" s="966"/>
      <c r="D19" s="967" t="s">
        <v>1286</v>
      </c>
      <c r="E19" s="967">
        <v>32</v>
      </c>
      <c r="F19" s="968">
        <v>2</v>
      </c>
      <c r="G19" s="965">
        <v>3.6</v>
      </c>
      <c r="H19" s="958">
        <v>2.880995241666739</v>
      </c>
      <c r="I19" s="959">
        <v>1.5259999999999998</v>
      </c>
      <c r="J19" s="959">
        <v>44.008114444444445</v>
      </c>
      <c r="K19" s="959">
        <v>0.96</v>
      </c>
      <c r="L19" s="944">
        <v>0</v>
      </c>
      <c r="M19" s="934">
        <v>9.0747958425229243</v>
      </c>
      <c r="N19" s="934">
        <v>4.5870922042189397</v>
      </c>
      <c r="O19" s="934">
        <v>10.338111953258133</v>
      </c>
      <c r="P19" s="934">
        <v>0</v>
      </c>
      <c r="Q19" s="934">
        <v>0.55788039859392347</v>
      </c>
      <c r="R19" s="935">
        <f t="shared" si="0"/>
        <v>7.5788413512381361</v>
      </c>
      <c r="S19" s="898">
        <f t="shared" si="1"/>
        <v>8.9084661950400168</v>
      </c>
      <c r="T19" s="898">
        <f t="shared" si="2"/>
        <v>6.6916352898058484</v>
      </c>
      <c r="U19" s="898">
        <f t="shared" si="3"/>
        <v>3.1088050404200085</v>
      </c>
      <c r="V19" s="898">
        <f t="shared" si="4"/>
        <v>1.0488050404200084</v>
      </c>
      <c r="W19" s="945">
        <f t="shared" si="5"/>
        <v>2.6634981161525091</v>
      </c>
      <c r="X19" s="656">
        <f t="shared" si="6"/>
        <v>1</v>
      </c>
      <c r="Y19" s="656">
        <f t="shared" si="6"/>
        <v>0</v>
      </c>
      <c r="Z19" s="656">
        <f t="shared" si="6"/>
        <v>0</v>
      </c>
      <c r="AA19" s="656">
        <f t="shared" si="6"/>
        <v>0</v>
      </c>
      <c r="AB19" s="946">
        <f t="shared" si="6"/>
        <v>0</v>
      </c>
      <c r="AC19" s="1108"/>
      <c r="AD19" s="1079" t="s">
        <v>146</v>
      </c>
      <c r="AE19" s="938">
        <f t="shared" si="18"/>
        <v>14</v>
      </c>
      <c r="AF19" s="947" t="s">
        <v>283</v>
      </c>
      <c r="AG19" s="708" t="str">
        <f t="shared" si="7"/>
        <v>-</v>
      </c>
      <c r="AH19" s="708" t="str">
        <f t="shared" si="8"/>
        <v>-</v>
      </c>
      <c r="AI19" s="708" t="str">
        <f t="shared" si="9"/>
        <v>-</v>
      </c>
      <c r="AJ19" s="708" t="str">
        <f t="shared" si="10"/>
        <v>-</v>
      </c>
      <c r="AK19" s="709">
        <f t="shared" si="11"/>
        <v>1</v>
      </c>
      <c r="AL19" s="941" t="str">
        <f t="shared" si="12"/>
        <v xml:space="preserve"> </v>
      </c>
      <c r="AM19" s="708" t="str">
        <f t="shared" si="13"/>
        <v xml:space="preserve"> </v>
      </c>
      <c r="AN19" s="708" t="str">
        <f t="shared" si="14"/>
        <v xml:space="preserve"> </v>
      </c>
      <c r="AO19" s="709" t="str">
        <f t="shared" si="15"/>
        <v xml:space="preserve"> </v>
      </c>
      <c r="AP19" s="1131" t="s">
        <v>283</v>
      </c>
      <c r="AQ19" s="883"/>
      <c r="AR19" s="883"/>
      <c r="AS19" s="883" t="str">
        <f t="shared" si="16"/>
        <v xml:space="preserve"> </v>
      </c>
      <c r="AT19" s="884" t="str">
        <f t="shared" si="17"/>
        <v xml:space="preserve"> </v>
      </c>
      <c r="AU19" s="883"/>
      <c r="AV19" s="883"/>
      <c r="AW19" s="883"/>
      <c r="AX19" s="884"/>
      <c r="AY19" s="1119"/>
    </row>
    <row r="20" spans="1:51" ht="15">
      <c r="A20" s="1110"/>
      <c r="B20" s="965" t="s">
        <v>1288</v>
      </c>
      <c r="C20" s="966"/>
      <c r="D20" s="967" t="s">
        <v>1286</v>
      </c>
      <c r="E20" s="967">
        <v>32</v>
      </c>
      <c r="F20" s="968">
        <v>2</v>
      </c>
      <c r="G20" s="965">
        <v>9</v>
      </c>
      <c r="H20" s="958">
        <v>3.185248000000064</v>
      </c>
      <c r="I20" s="959">
        <v>1.3442016319444441</v>
      </c>
      <c r="J20" s="959">
        <v>44.707558699722377</v>
      </c>
      <c r="K20" s="959">
        <v>1.191756</v>
      </c>
      <c r="L20" s="944">
        <v>0</v>
      </c>
      <c r="M20" s="934">
        <v>9.0747958425229243</v>
      </c>
      <c r="N20" s="934">
        <v>4.5870922042189397</v>
      </c>
      <c r="O20" s="934">
        <v>10.338111953258133</v>
      </c>
      <c r="P20" s="934">
        <v>0</v>
      </c>
      <c r="Q20" s="934">
        <v>0.55788039859392347</v>
      </c>
      <c r="R20" s="935">
        <f t="shared" si="0"/>
        <v>8.3336228659807752</v>
      </c>
      <c r="S20" s="898">
        <f t="shared" si="1"/>
        <v>8.9727243776000147</v>
      </c>
      <c r="T20" s="898">
        <f t="shared" si="2"/>
        <v>6.7562281504000135</v>
      </c>
      <c r="U20" s="898">
        <f t="shared" si="3"/>
        <v>3.1445851648000076</v>
      </c>
      <c r="V20" s="898">
        <f t="shared" si="4"/>
        <v>1.0845851648000076</v>
      </c>
      <c r="W20" s="945">
        <f t="shared" si="5"/>
        <v>2.7008299296000078</v>
      </c>
      <c r="X20" s="656">
        <f t="shared" si="6"/>
        <v>1</v>
      </c>
      <c r="Y20" s="656">
        <f t="shared" si="6"/>
        <v>0</v>
      </c>
      <c r="Z20" s="656">
        <f t="shared" si="6"/>
        <v>0</v>
      </c>
      <c r="AA20" s="656">
        <f t="shared" si="6"/>
        <v>0</v>
      </c>
      <c r="AB20" s="946">
        <f t="shared" si="6"/>
        <v>0</v>
      </c>
      <c r="AC20" s="1108"/>
      <c r="AD20" s="1079" t="s">
        <v>145</v>
      </c>
      <c r="AE20" s="938">
        <f t="shared" si="18"/>
        <v>15</v>
      </c>
      <c r="AF20" s="947" t="s">
        <v>283</v>
      </c>
      <c r="AG20" s="708" t="str">
        <f t="shared" si="7"/>
        <v>-</v>
      </c>
      <c r="AH20" s="708" t="str">
        <f t="shared" si="8"/>
        <v>-</v>
      </c>
      <c r="AI20" s="708" t="str">
        <f t="shared" si="9"/>
        <v>-</v>
      </c>
      <c r="AJ20" s="708" t="str">
        <f t="shared" si="10"/>
        <v>-</v>
      </c>
      <c r="AK20" s="709">
        <f t="shared" si="11"/>
        <v>1</v>
      </c>
      <c r="AL20" s="941" t="str">
        <f t="shared" si="12"/>
        <v xml:space="preserve"> </v>
      </c>
      <c r="AM20" s="708" t="str">
        <f t="shared" si="13"/>
        <v xml:space="preserve"> </v>
      </c>
      <c r="AN20" s="708" t="str">
        <f t="shared" si="14"/>
        <v xml:space="preserve"> </v>
      </c>
      <c r="AO20" s="709" t="str">
        <f t="shared" si="15"/>
        <v xml:space="preserve"> </v>
      </c>
      <c r="AP20" s="1131" t="s">
        <v>283</v>
      </c>
      <c r="AQ20" s="883"/>
      <c r="AR20" s="883"/>
      <c r="AS20" s="883" t="str">
        <f t="shared" si="16"/>
        <v xml:space="preserve"> </v>
      </c>
      <c r="AT20" s="884" t="str">
        <f t="shared" si="17"/>
        <v xml:space="preserve"> </v>
      </c>
      <c r="AU20" s="883"/>
      <c r="AV20" s="883"/>
      <c r="AW20" s="883"/>
      <c r="AX20" s="884"/>
      <c r="AY20" s="1119"/>
    </row>
    <row r="21" spans="1:51" ht="15">
      <c r="A21" s="1110"/>
      <c r="B21" s="965" t="s">
        <v>1289</v>
      </c>
      <c r="C21" s="966"/>
      <c r="D21" s="967" t="s">
        <v>1286</v>
      </c>
      <c r="E21" s="967">
        <v>32</v>
      </c>
      <c r="F21" s="968">
        <v>2</v>
      </c>
      <c r="G21" s="965">
        <v>6.5</v>
      </c>
      <c r="H21" s="958">
        <v>1.357431500000049</v>
      </c>
      <c r="I21" s="959">
        <v>1.22</v>
      </c>
      <c r="J21" s="959">
        <v>35.153803750000208</v>
      </c>
      <c r="K21" s="959">
        <v>8.6676000000000003E-2</v>
      </c>
      <c r="L21" s="944">
        <v>0</v>
      </c>
      <c r="M21" s="934">
        <v>9.0747958425229243</v>
      </c>
      <c r="N21" s="934">
        <v>4.5870922042189397</v>
      </c>
      <c r="O21" s="934">
        <v>10.338111953258133</v>
      </c>
      <c r="P21" s="934">
        <v>0</v>
      </c>
      <c r="Q21" s="934">
        <v>0.55788039859392347</v>
      </c>
      <c r="R21" s="935">
        <f t="shared" si="0"/>
        <v>5.1057796082218081</v>
      </c>
      <c r="S21" s="898">
        <f t="shared" si="1"/>
        <v>8.5866895328000119</v>
      </c>
      <c r="T21" s="898">
        <f t="shared" si="2"/>
        <v>6.3681827074500106</v>
      </c>
      <c r="U21" s="898">
        <f t="shared" si="3"/>
        <v>2.9296339444000057</v>
      </c>
      <c r="V21" s="898">
        <f t="shared" si="4"/>
        <v>0.86963394440000574</v>
      </c>
      <c r="W21" s="945">
        <f t="shared" si="5"/>
        <v>2.476556845050006</v>
      </c>
      <c r="X21" s="656">
        <f t="shared" si="6"/>
        <v>1</v>
      </c>
      <c r="Y21" s="656">
        <f t="shared" si="6"/>
        <v>1</v>
      </c>
      <c r="Z21" s="656">
        <f t="shared" si="6"/>
        <v>0</v>
      </c>
      <c r="AA21" s="656">
        <f t="shared" si="6"/>
        <v>0</v>
      </c>
      <c r="AB21" s="946">
        <f t="shared" si="6"/>
        <v>0</v>
      </c>
      <c r="AC21" s="1108"/>
      <c r="AD21" s="1080" t="s">
        <v>110</v>
      </c>
      <c r="AE21" s="12">
        <f t="shared" si="18"/>
        <v>16</v>
      </c>
      <c r="AF21" s="949" t="s">
        <v>110</v>
      </c>
      <c r="AG21" s="698">
        <f t="shared" si="7"/>
        <v>0.2</v>
      </c>
      <c r="AH21" s="698">
        <f t="shared" si="8"/>
        <v>0</v>
      </c>
      <c r="AI21" s="698">
        <f t="shared" si="9"/>
        <v>0</v>
      </c>
      <c r="AJ21" s="698">
        <f t="shared" si="10"/>
        <v>0</v>
      </c>
      <c r="AK21" s="710">
        <f t="shared" si="11"/>
        <v>0.8</v>
      </c>
      <c r="AL21" s="891">
        <f t="shared" si="12"/>
        <v>1</v>
      </c>
      <c r="AM21" s="698">
        <f t="shared" si="13"/>
        <v>0</v>
      </c>
      <c r="AN21" s="698">
        <f t="shared" si="14"/>
        <v>0</v>
      </c>
      <c r="AO21" s="710">
        <f t="shared" si="15"/>
        <v>0</v>
      </c>
      <c r="AP21" s="885">
        <v>3</v>
      </c>
      <c r="AQ21" s="877">
        <v>0</v>
      </c>
      <c r="AR21" s="877">
        <v>0</v>
      </c>
      <c r="AS21" s="877">
        <v>0</v>
      </c>
      <c r="AT21" s="886">
        <v>1</v>
      </c>
      <c r="AU21" s="877">
        <f>(AL21*(1-$AU$3))+(AQ21*$AU$3)</f>
        <v>0.87</v>
      </c>
      <c r="AV21" s="877">
        <f>(AM21*(1-$AU$3))+(AR21*$AU$3)</f>
        <v>0</v>
      </c>
      <c r="AW21" s="877">
        <f>(AN21*(1-$AU$3))+(AS21*$AU$3)</f>
        <v>0</v>
      </c>
      <c r="AX21" s="886">
        <f>(AO21*(1-$AU$3))+(AT21*$AU$3)</f>
        <v>0.13</v>
      </c>
      <c r="AY21" s="1119"/>
    </row>
    <row r="22" spans="1:51" ht="15">
      <c r="A22" s="1108"/>
      <c r="B22" s="965" t="s">
        <v>1290</v>
      </c>
      <c r="C22" s="966"/>
      <c r="D22" s="967" t="s">
        <v>1286</v>
      </c>
      <c r="E22" s="967">
        <v>32</v>
      </c>
      <c r="F22" s="968">
        <v>2</v>
      </c>
      <c r="G22" s="965"/>
      <c r="H22" s="958">
        <v>1.7104427777778788</v>
      </c>
      <c r="I22" s="959">
        <v>2.0367500000000014</v>
      </c>
      <c r="J22" s="959">
        <v>59.647345833333354</v>
      </c>
      <c r="K22" s="959">
        <v>0</v>
      </c>
      <c r="L22" s="944">
        <v>0</v>
      </c>
      <c r="M22" s="934">
        <v>9.0747958425229243</v>
      </c>
      <c r="N22" s="934">
        <v>4.5870922042189397</v>
      </c>
      <c r="O22" s="934">
        <v>10.338111953258133</v>
      </c>
      <c r="P22" s="934">
        <v>0</v>
      </c>
      <c r="Q22" s="934">
        <v>0.55788039859392347</v>
      </c>
      <c r="R22" s="935">
        <f t="shared" si="0"/>
        <v>8.5901448257142334</v>
      </c>
      <c r="S22" s="898">
        <f t="shared" si="1"/>
        <v>8.6612455146666889</v>
      </c>
      <c r="T22" s="898">
        <f t="shared" si="2"/>
        <v>6.4431270017222442</v>
      </c>
      <c r="U22" s="898">
        <f t="shared" si="3"/>
        <v>2.9711480706666786</v>
      </c>
      <c r="V22" s="898">
        <f t="shared" si="4"/>
        <v>0.91114807066667847</v>
      </c>
      <c r="W22" s="945">
        <f t="shared" si="5"/>
        <v>2.5198713288333456</v>
      </c>
      <c r="X22" s="656">
        <f t="shared" si="6"/>
        <v>1</v>
      </c>
      <c r="Y22" s="656">
        <f t="shared" si="6"/>
        <v>0</v>
      </c>
      <c r="Z22" s="656">
        <f t="shared" si="6"/>
        <v>0</v>
      </c>
      <c r="AA22" s="656">
        <f t="shared" si="6"/>
        <v>0</v>
      </c>
      <c r="AB22" s="946">
        <f t="shared" si="6"/>
        <v>0</v>
      </c>
      <c r="AC22" s="1108"/>
      <c r="AD22" s="1079" t="s">
        <v>777</v>
      </c>
      <c r="AE22" s="938">
        <f t="shared" si="18"/>
        <v>17</v>
      </c>
      <c r="AF22" s="947" t="s">
        <v>283</v>
      </c>
      <c r="AG22" s="708" t="str">
        <f t="shared" si="7"/>
        <v>-</v>
      </c>
      <c r="AH22" s="708" t="str">
        <f t="shared" si="8"/>
        <v>-</v>
      </c>
      <c r="AI22" s="708" t="str">
        <f t="shared" si="9"/>
        <v>-</v>
      </c>
      <c r="AJ22" s="708" t="str">
        <f t="shared" si="10"/>
        <v>-</v>
      </c>
      <c r="AK22" s="709">
        <f t="shared" si="11"/>
        <v>1</v>
      </c>
      <c r="AL22" s="941" t="str">
        <f t="shared" si="12"/>
        <v xml:space="preserve"> </v>
      </c>
      <c r="AM22" s="708" t="str">
        <f t="shared" si="13"/>
        <v xml:space="preserve"> </v>
      </c>
      <c r="AN22" s="708" t="str">
        <f t="shared" si="14"/>
        <v xml:space="preserve"> </v>
      </c>
      <c r="AO22" s="709" t="str">
        <f t="shared" si="15"/>
        <v xml:space="preserve"> </v>
      </c>
      <c r="AP22" s="1131" t="s">
        <v>283</v>
      </c>
      <c r="AQ22" s="883"/>
      <c r="AR22" s="883"/>
      <c r="AS22" s="883" t="str">
        <f t="shared" ref="AS22:AS65" si="20">IF(AT22=" "," ",1-AT22)</f>
        <v xml:space="preserve"> </v>
      </c>
      <c r="AT22" s="884" t="str">
        <f t="shared" ref="AT22:AT64" si="21">IF(AO22=" "," ",AO22)</f>
        <v xml:space="preserve"> </v>
      </c>
      <c r="AU22" s="883"/>
      <c r="AV22" s="883"/>
      <c r="AW22" s="883"/>
      <c r="AX22" s="884"/>
      <c r="AY22" s="1119"/>
    </row>
    <row r="23" spans="1:51" ht="15">
      <c r="A23" s="1108"/>
      <c r="B23" s="961">
        <v>30</v>
      </c>
      <c r="C23" s="927"/>
      <c r="D23" s="970" t="s">
        <v>1291</v>
      </c>
      <c r="E23" s="970">
        <v>33</v>
      </c>
      <c r="F23" s="929">
        <v>2</v>
      </c>
      <c r="G23" s="930">
        <v>2.4</v>
      </c>
      <c r="H23" s="942">
        <v>1.80372</v>
      </c>
      <c r="I23" s="943">
        <v>1.8248629999999999</v>
      </c>
      <c r="J23" s="943">
        <v>49.540897000000001</v>
      </c>
      <c r="K23" s="943">
        <v>1.4731379999999998</v>
      </c>
      <c r="L23" s="944">
        <v>0</v>
      </c>
      <c r="M23" s="934">
        <v>9.0747958425229243</v>
      </c>
      <c r="N23" s="934">
        <v>4.5870922042189397</v>
      </c>
      <c r="O23" s="934">
        <v>10.338111953258133</v>
      </c>
      <c r="P23" s="934">
        <v>0</v>
      </c>
      <c r="Q23" s="934">
        <v>0.55788039859392347</v>
      </c>
      <c r="R23" s="935">
        <f t="shared" si="0"/>
        <v>9.3133353228746696</v>
      </c>
      <c r="S23" s="898">
        <f t="shared" si="1"/>
        <v>8.6809456640000011</v>
      </c>
      <c r="T23" s="898">
        <f t="shared" si="2"/>
        <v>6.4629297560000003</v>
      </c>
      <c r="U23" s="898">
        <f t="shared" si="3"/>
        <v>2.9821174720000001</v>
      </c>
      <c r="V23" s="898">
        <f t="shared" si="4"/>
        <v>0.92211747199999994</v>
      </c>
      <c r="W23" s="945">
        <f t="shared" si="5"/>
        <v>2.5313164440000002</v>
      </c>
      <c r="X23" s="656">
        <f t="shared" si="6"/>
        <v>0</v>
      </c>
      <c r="Y23" s="656">
        <f t="shared" si="6"/>
        <v>0</v>
      </c>
      <c r="Z23" s="656">
        <f t="shared" si="6"/>
        <v>0</v>
      </c>
      <c r="AA23" s="656">
        <f t="shared" si="6"/>
        <v>0</v>
      </c>
      <c r="AB23" s="946">
        <f t="shared" si="6"/>
        <v>0</v>
      </c>
      <c r="AC23" s="1108"/>
      <c r="AD23" s="1079" t="s">
        <v>225</v>
      </c>
      <c r="AE23" s="938">
        <f t="shared" si="18"/>
        <v>18</v>
      </c>
      <c r="AF23" s="947" t="s">
        <v>283</v>
      </c>
      <c r="AG23" s="708" t="str">
        <f t="shared" si="7"/>
        <v>-</v>
      </c>
      <c r="AH23" s="708" t="str">
        <f t="shared" si="8"/>
        <v>-</v>
      </c>
      <c r="AI23" s="708" t="str">
        <f t="shared" si="9"/>
        <v>-</v>
      </c>
      <c r="AJ23" s="708" t="str">
        <f t="shared" si="10"/>
        <v>-</v>
      </c>
      <c r="AK23" s="709">
        <f t="shared" si="11"/>
        <v>1</v>
      </c>
      <c r="AL23" s="941" t="str">
        <f t="shared" si="12"/>
        <v xml:space="preserve"> </v>
      </c>
      <c r="AM23" s="708" t="str">
        <f t="shared" si="13"/>
        <v xml:space="preserve"> </v>
      </c>
      <c r="AN23" s="708" t="str">
        <f t="shared" si="14"/>
        <v xml:space="preserve"> </v>
      </c>
      <c r="AO23" s="709" t="str">
        <f t="shared" si="15"/>
        <v xml:space="preserve"> </v>
      </c>
      <c r="AP23" s="1131" t="s">
        <v>283</v>
      </c>
      <c r="AQ23" s="883"/>
      <c r="AR23" s="883"/>
      <c r="AS23" s="883" t="str">
        <f t="shared" si="20"/>
        <v xml:space="preserve"> </v>
      </c>
      <c r="AT23" s="884" t="str">
        <f t="shared" si="21"/>
        <v xml:space="preserve"> </v>
      </c>
      <c r="AU23" s="883"/>
      <c r="AV23" s="883"/>
      <c r="AW23" s="883"/>
      <c r="AX23" s="884"/>
      <c r="AY23" s="1119"/>
    </row>
    <row r="24" spans="1:51" ht="15">
      <c r="A24" s="1110"/>
      <c r="B24" s="961">
        <v>31</v>
      </c>
      <c r="C24" s="927"/>
      <c r="D24" s="970" t="s">
        <v>1291</v>
      </c>
      <c r="E24" s="970">
        <v>33</v>
      </c>
      <c r="F24" s="929">
        <v>2</v>
      </c>
      <c r="G24" s="930">
        <v>2.4</v>
      </c>
      <c r="H24" s="942">
        <v>1.937235</v>
      </c>
      <c r="I24" s="943">
        <v>0.660362</v>
      </c>
      <c r="J24" s="943">
        <v>20.834951</v>
      </c>
      <c r="K24" s="943">
        <v>0.33330240000000005</v>
      </c>
      <c r="L24" s="944">
        <v>0</v>
      </c>
      <c r="M24" s="934">
        <v>9.0747958425229243</v>
      </c>
      <c r="N24" s="934">
        <v>4.5870922042189397</v>
      </c>
      <c r="O24" s="934">
        <v>10.338111953258133</v>
      </c>
      <c r="P24" s="934">
        <v>0</v>
      </c>
      <c r="Q24" s="934">
        <v>0.55788039859392347</v>
      </c>
      <c r="R24" s="935">
        <f t="shared" si="0"/>
        <v>3.3662242270162408</v>
      </c>
      <c r="S24" s="898">
        <f t="shared" si="1"/>
        <v>8.7091440320000011</v>
      </c>
      <c r="T24" s="898">
        <f t="shared" si="2"/>
        <v>6.4912749905</v>
      </c>
      <c r="U24" s="898">
        <f t="shared" si="3"/>
        <v>2.997818836</v>
      </c>
      <c r="V24" s="898">
        <f t="shared" si="4"/>
        <v>0.93781883599999993</v>
      </c>
      <c r="W24" s="945">
        <f t="shared" si="5"/>
        <v>2.5476987345</v>
      </c>
      <c r="X24" s="656">
        <f t="shared" si="6"/>
        <v>1</v>
      </c>
      <c r="Y24" s="656">
        <f t="shared" si="6"/>
        <v>1</v>
      </c>
      <c r="Z24" s="656">
        <f t="shared" si="6"/>
        <v>0</v>
      </c>
      <c r="AA24" s="656">
        <f t="shared" si="6"/>
        <v>0</v>
      </c>
      <c r="AB24" s="946">
        <f t="shared" si="6"/>
        <v>0</v>
      </c>
      <c r="AC24" s="1108"/>
      <c r="AD24" s="1080" t="s">
        <v>111</v>
      </c>
      <c r="AE24" s="12">
        <f t="shared" si="18"/>
        <v>19</v>
      </c>
      <c r="AF24" s="949" t="s">
        <v>236</v>
      </c>
      <c r="AG24" s="698">
        <f t="shared" si="7"/>
        <v>0.13235294117647059</v>
      </c>
      <c r="AH24" s="698">
        <f t="shared" si="8"/>
        <v>0.23529411764705882</v>
      </c>
      <c r="AI24" s="698">
        <f t="shared" si="9"/>
        <v>0.33823529411764708</v>
      </c>
      <c r="AJ24" s="698">
        <f t="shared" si="10"/>
        <v>7.3529411764705885E-2</v>
      </c>
      <c r="AK24" s="710">
        <f t="shared" si="11"/>
        <v>0.22058823529411764</v>
      </c>
      <c r="AL24" s="891">
        <f t="shared" si="12"/>
        <v>0.3529411764705882</v>
      </c>
      <c r="AM24" s="698">
        <f t="shared" si="13"/>
        <v>0.23529411764705882</v>
      </c>
      <c r="AN24" s="698">
        <f t="shared" si="14"/>
        <v>0.33823529411764708</v>
      </c>
      <c r="AO24" s="710">
        <f t="shared" si="15"/>
        <v>7.3529411764705885E-2</v>
      </c>
      <c r="AP24" s="885">
        <v>2</v>
      </c>
      <c r="AQ24" s="877">
        <v>0</v>
      </c>
      <c r="AR24" s="877">
        <v>0</v>
      </c>
      <c r="AS24" s="877">
        <f t="shared" si="20"/>
        <v>0.92647058823529416</v>
      </c>
      <c r="AT24" s="886">
        <f t="shared" si="21"/>
        <v>7.3529411764705885E-2</v>
      </c>
      <c r="AU24" s="877">
        <f>(AL24*(1-$AU$3))+(AQ24*$AU$3)</f>
        <v>0.30705882352941172</v>
      </c>
      <c r="AV24" s="877">
        <f>(AM24*(1-$AU$3))+(AR24*$AU$3)</f>
        <v>0.20470588235294118</v>
      </c>
      <c r="AW24" s="877">
        <f>(AN24*(1-$AU$3))+(AS24*$AU$3)</f>
        <v>0.41470588235294126</v>
      </c>
      <c r="AX24" s="886">
        <f>(AO24*(1-$AU$3))+(AT24*$AU$3)</f>
        <v>7.3529411764705899E-2</v>
      </c>
      <c r="AY24" s="1119"/>
    </row>
    <row r="25" spans="1:51" ht="15">
      <c r="A25" s="1108"/>
      <c r="B25" s="961">
        <v>32</v>
      </c>
      <c r="C25" s="927"/>
      <c r="D25" s="970" t="s">
        <v>1291</v>
      </c>
      <c r="E25" s="970">
        <v>33</v>
      </c>
      <c r="F25" s="929">
        <v>2</v>
      </c>
      <c r="G25" s="930">
        <v>2.4</v>
      </c>
      <c r="H25" s="942">
        <v>3.740955</v>
      </c>
      <c r="I25" s="943">
        <v>2.4852249999999998</v>
      </c>
      <c r="J25" s="943">
        <v>70.375848000000005</v>
      </c>
      <c r="K25" s="943">
        <v>0</v>
      </c>
      <c r="L25" s="944">
        <v>0</v>
      </c>
      <c r="M25" s="934">
        <v>9.0747958425229243</v>
      </c>
      <c r="N25" s="934">
        <v>4.5870922042189397</v>
      </c>
      <c r="O25" s="934">
        <v>10.338111953258133</v>
      </c>
      <c r="P25" s="934">
        <v>0</v>
      </c>
      <c r="Q25" s="934">
        <v>0.55788039859392347</v>
      </c>
      <c r="R25" s="935">
        <f t="shared" si="0"/>
        <v>9.6550568830683705</v>
      </c>
      <c r="S25" s="898">
        <f t="shared" si="1"/>
        <v>9.0900896960000015</v>
      </c>
      <c r="T25" s="898">
        <f t="shared" si="2"/>
        <v>6.8742047465000002</v>
      </c>
      <c r="U25" s="898">
        <f t="shared" si="3"/>
        <v>3.2099363080000001</v>
      </c>
      <c r="V25" s="898">
        <f t="shared" si="4"/>
        <v>1.149936308</v>
      </c>
      <c r="W25" s="945">
        <f t="shared" si="5"/>
        <v>2.7690151785000001</v>
      </c>
      <c r="X25" s="656">
        <f t="shared" si="6"/>
        <v>0</v>
      </c>
      <c r="Y25" s="656">
        <f t="shared" si="6"/>
        <v>0</v>
      </c>
      <c r="Z25" s="656">
        <f t="shared" si="6"/>
        <v>0</v>
      </c>
      <c r="AA25" s="656">
        <f t="shared" si="6"/>
        <v>0</v>
      </c>
      <c r="AB25" s="946">
        <f t="shared" si="6"/>
        <v>0</v>
      </c>
      <c r="AC25" s="1108"/>
      <c r="AD25" s="1079" t="s">
        <v>455</v>
      </c>
      <c r="AE25" s="938">
        <f t="shared" si="18"/>
        <v>20</v>
      </c>
      <c r="AF25" s="947" t="s">
        <v>283</v>
      </c>
      <c r="AG25" s="708" t="str">
        <f t="shared" si="7"/>
        <v>-</v>
      </c>
      <c r="AH25" s="708" t="str">
        <f t="shared" si="8"/>
        <v>-</v>
      </c>
      <c r="AI25" s="708" t="str">
        <f t="shared" si="9"/>
        <v>-</v>
      </c>
      <c r="AJ25" s="708" t="str">
        <f t="shared" si="10"/>
        <v>-</v>
      </c>
      <c r="AK25" s="709">
        <f t="shared" si="11"/>
        <v>1</v>
      </c>
      <c r="AL25" s="941" t="str">
        <f t="shared" si="12"/>
        <v xml:space="preserve"> </v>
      </c>
      <c r="AM25" s="708" t="str">
        <f t="shared" si="13"/>
        <v xml:space="preserve"> </v>
      </c>
      <c r="AN25" s="708" t="str">
        <f t="shared" si="14"/>
        <v xml:space="preserve"> </v>
      </c>
      <c r="AO25" s="709" t="str">
        <f t="shared" si="15"/>
        <v xml:space="preserve"> </v>
      </c>
      <c r="AP25" s="1131" t="s">
        <v>283</v>
      </c>
      <c r="AQ25" s="883"/>
      <c r="AR25" s="883"/>
      <c r="AS25" s="883" t="str">
        <f t="shared" si="20"/>
        <v xml:space="preserve"> </v>
      </c>
      <c r="AT25" s="884" t="str">
        <f t="shared" si="21"/>
        <v xml:space="preserve"> </v>
      </c>
      <c r="AU25" s="883"/>
      <c r="AV25" s="883"/>
      <c r="AW25" s="883"/>
      <c r="AX25" s="884"/>
      <c r="AY25" s="1119"/>
    </row>
    <row r="26" spans="1:51" ht="15">
      <c r="A26" s="1108"/>
      <c r="B26" s="961">
        <v>33</v>
      </c>
      <c r="C26" s="927"/>
      <c r="D26" s="970" t="s">
        <v>1291</v>
      </c>
      <c r="E26" s="970">
        <v>33</v>
      </c>
      <c r="F26" s="929">
        <v>2</v>
      </c>
      <c r="G26" s="930">
        <v>3.7</v>
      </c>
      <c r="H26" s="942">
        <v>1.7848850000000001</v>
      </c>
      <c r="I26" s="943">
        <v>1.0683100000000001</v>
      </c>
      <c r="J26" s="943">
        <v>30.789853999999998</v>
      </c>
      <c r="K26" s="943">
        <v>0.99942600000000004</v>
      </c>
      <c r="L26" s="944">
        <v>0</v>
      </c>
      <c r="M26" s="934">
        <v>9.0747958425229243</v>
      </c>
      <c r="N26" s="934">
        <v>4.5870922042189397</v>
      </c>
      <c r="O26" s="934">
        <v>10.338111953258133</v>
      </c>
      <c r="P26" s="934">
        <v>0</v>
      </c>
      <c r="Q26" s="934">
        <v>0.55788039859392347</v>
      </c>
      <c r="R26" s="935">
        <f t="shared" si="0"/>
        <v>5.8972017122338594</v>
      </c>
      <c r="S26" s="898">
        <f t="shared" si="1"/>
        <v>8.6769677120000015</v>
      </c>
      <c r="T26" s="898">
        <f t="shared" si="2"/>
        <v>6.4589310854999997</v>
      </c>
      <c r="U26" s="898">
        <f t="shared" si="3"/>
        <v>2.9799024759999999</v>
      </c>
      <c r="V26" s="898">
        <f t="shared" si="4"/>
        <v>0.91990247599999997</v>
      </c>
      <c r="W26" s="945">
        <f t="shared" si="5"/>
        <v>2.5290053895</v>
      </c>
      <c r="X26" s="656">
        <f t="shared" si="6"/>
        <v>1</v>
      </c>
      <c r="Y26" s="656">
        <f t="shared" si="6"/>
        <v>1</v>
      </c>
      <c r="Z26" s="656">
        <f t="shared" si="6"/>
        <v>0</v>
      </c>
      <c r="AA26" s="656">
        <f t="shared" si="6"/>
        <v>0</v>
      </c>
      <c r="AB26" s="946">
        <f t="shared" si="6"/>
        <v>0</v>
      </c>
      <c r="AC26" s="1108"/>
      <c r="AD26" s="1080" t="s">
        <v>112</v>
      </c>
      <c r="AE26" s="12">
        <f t="shared" si="18"/>
        <v>21</v>
      </c>
      <c r="AF26" s="949" t="s">
        <v>203</v>
      </c>
      <c r="AG26" s="698">
        <f t="shared" si="7"/>
        <v>6.0606060606060608E-2</v>
      </c>
      <c r="AH26" s="698">
        <f t="shared" si="8"/>
        <v>0.69696969696969702</v>
      </c>
      <c r="AI26" s="698">
        <f t="shared" si="9"/>
        <v>9.0909090909090912E-2</v>
      </c>
      <c r="AJ26" s="698">
        <f t="shared" si="10"/>
        <v>0</v>
      </c>
      <c r="AK26" s="710">
        <f t="shared" si="11"/>
        <v>0.15151515151515149</v>
      </c>
      <c r="AL26" s="891">
        <f t="shared" si="12"/>
        <v>0.2121212121212121</v>
      </c>
      <c r="AM26" s="698">
        <f t="shared" si="13"/>
        <v>0.69696969696969702</v>
      </c>
      <c r="AN26" s="698">
        <f t="shared" si="14"/>
        <v>9.0909090909090912E-2</v>
      </c>
      <c r="AO26" s="710">
        <f t="shared" si="15"/>
        <v>0</v>
      </c>
      <c r="AP26" s="885">
        <v>2</v>
      </c>
      <c r="AQ26" s="877">
        <v>0</v>
      </c>
      <c r="AR26" s="877">
        <v>0</v>
      </c>
      <c r="AS26" s="877">
        <f t="shared" si="20"/>
        <v>1</v>
      </c>
      <c r="AT26" s="886">
        <f t="shared" si="21"/>
        <v>0</v>
      </c>
      <c r="AU26" s="877">
        <f t="shared" ref="AU26:AX28" si="22">(AL26*(1-$AU$3))+(AQ26*$AU$3)</f>
        <v>0.18454545454545451</v>
      </c>
      <c r="AV26" s="877">
        <f t="shared" si="22"/>
        <v>0.60636363636363644</v>
      </c>
      <c r="AW26" s="877">
        <f t="shared" si="22"/>
        <v>0.20909090909090911</v>
      </c>
      <c r="AX26" s="886">
        <f t="shared" si="22"/>
        <v>0</v>
      </c>
      <c r="AY26" s="1119"/>
    </row>
    <row r="27" spans="1:51" ht="15">
      <c r="A27" s="1108"/>
      <c r="B27" s="961">
        <v>35</v>
      </c>
      <c r="C27" s="927"/>
      <c r="D27" s="970" t="s">
        <v>1291</v>
      </c>
      <c r="E27" s="970">
        <v>33</v>
      </c>
      <c r="F27" s="929">
        <v>2</v>
      </c>
      <c r="G27" s="930">
        <v>3.6</v>
      </c>
      <c r="H27" s="942">
        <v>1.425594</v>
      </c>
      <c r="I27" s="943">
        <v>2.6650722</v>
      </c>
      <c r="J27" s="943">
        <v>64.202085999999994</v>
      </c>
      <c r="K27" s="943">
        <v>1.9805160000000002</v>
      </c>
      <c r="L27" s="944">
        <v>0</v>
      </c>
      <c r="M27" s="934">
        <v>9.0747958425229243</v>
      </c>
      <c r="N27" s="934">
        <v>4.5870922042189397</v>
      </c>
      <c r="O27" s="934">
        <v>10.338111953258133</v>
      </c>
      <c r="P27" s="934">
        <v>0</v>
      </c>
      <c r="Q27" s="934">
        <v>0.55788039859392347</v>
      </c>
      <c r="R27" s="935">
        <f t="shared" si="0"/>
        <v>11.90212915032189</v>
      </c>
      <c r="S27" s="898">
        <f t="shared" si="1"/>
        <v>8.6010854528000014</v>
      </c>
      <c r="T27" s="898">
        <f t="shared" si="2"/>
        <v>6.3826536061999999</v>
      </c>
      <c r="U27" s="898">
        <f t="shared" si="3"/>
        <v>2.9376498544</v>
      </c>
      <c r="V27" s="898">
        <f t="shared" si="4"/>
        <v>0.87764985439999998</v>
      </c>
      <c r="W27" s="945">
        <f t="shared" si="5"/>
        <v>2.4849203838</v>
      </c>
      <c r="X27" s="656">
        <f t="shared" si="6"/>
        <v>0</v>
      </c>
      <c r="Y27" s="656">
        <f t="shared" si="6"/>
        <v>0</v>
      </c>
      <c r="Z27" s="656">
        <f t="shared" si="6"/>
        <v>0</v>
      </c>
      <c r="AA27" s="656">
        <f t="shared" si="6"/>
        <v>0</v>
      </c>
      <c r="AB27" s="946">
        <f t="shared" si="6"/>
        <v>0</v>
      </c>
      <c r="AC27" s="1108"/>
      <c r="AD27" s="1080" t="s">
        <v>113</v>
      </c>
      <c r="AE27" s="12">
        <f t="shared" si="18"/>
        <v>22</v>
      </c>
      <c r="AF27" s="949" t="s">
        <v>236</v>
      </c>
      <c r="AG27" s="698">
        <f t="shared" si="7"/>
        <v>0.13235294117647059</v>
      </c>
      <c r="AH27" s="698">
        <f t="shared" si="8"/>
        <v>0.23529411764705882</v>
      </c>
      <c r="AI27" s="698">
        <f t="shared" si="9"/>
        <v>0.33823529411764708</v>
      </c>
      <c r="AJ27" s="698">
        <f t="shared" si="10"/>
        <v>7.3529411764705885E-2</v>
      </c>
      <c r="AK27" s="710">
        <f t="shared" si="11"/>
        <v>0.22058823529411764</v>
      </c>
      <c r="AL27" s="891">
        <f t="shared" si="12"/>
        <v>0.3529411764705882</v>
      </c>
      <c r="AM27" s="698">
        <f t="shared" si="13"/>
        <v>0.23529411764705882</v>
      </c>
      <c r="AN27" s="698">
        <f t="shared" si="14"/>
        <v>0.33823529411764708</v>
      </c>
      <c r="AO27" s="710">
        <f t="shared" si="15"/>
        <v>7.3529411764705885E-2</v>
      </c>
      <c r="AP27" s="885">
        <v>2</v>
      </c>
      <c r="AQ27" s="877">
        <v>0</v>
      </c>
      <c r="AR27" s="877">
        <v>0</v>
      </c>
      <c r="AS27" s="877">
        <f t="shared" si="20"/>
        <v>0.92647058823529416</v>
      </c>
      <c r="AT27" s="886">
        <f t="shared" si="21"/>
        <v>7.3529411764705885E-2</v>
      </c>
      <c r="AU27" s="877">
        <f t="shared" si="22"/>
        <v>0.30705882352941172</v>
      </c>
      <c r="AV27" s="877">
        <f t="shared" si="22"/>
        <v>0.20470588235294118</v>
      </c>
      <c r="AW27" s="877">
        <f t="shared" si="22"/>
        <v>0.41470588235294126</v>
      </c>
      <c r="AX27" s="886">
        <f t="shared" si="22"/>
        <v>7.3529411764705899E-2</v>
      </c>
      <c r="AY27" s="1119"/>
    </row>
    <row r="28" spans="1:51" ht="15">
      <c r="A28" s="1108"/>
      <c r="B28" s="961">
        <v>66</v>
      </c>
      <c r="C28" s="927"/>
      <c r="D28" s="970" t="s">
        <v>1291</v>
      </c>
      <c r="E28" s="970">
        <v>33</v>
      </c>
      <c r="F28" s="929">
        <v>2</v>
      </c>
      <c r="G28" s="930">
        <v>3.6</v>
      </c>
      <c r="H28" s="942">
        <v>2.5409999999999999</v>
      </c>
      <c r="I28" s="943">
        <v>1.9198976000000001</v>
      </c>
      <c r="J28" s="943">
        <v>54.97</v>
      </c>
      <c r="K28" s="943">
        <v>1.631</v>
      </c>
      <c r="L28" s="944">
        <v>0</v>
      </c>
      <c r="M28" s="934">
        <v>9.0747958425229243</v>
      </c>
      <c r="N28" s="934">
        <v>4.5870922042189397</v>
      </c>
      <c r="O28" s="934">
        <v>10.338111953258133</v>
      </c>
      <c r="P28" s="934">
        <v>0</v>
      </c>
      <c r="Q28" s="934">
        <v>0.55788039859392347</v>
      </c>
      <c r="R28" s="935">
        <f t="shared" si="0"/>
        <v>10.383366642027502</v>
      </c>
      <c r="S28" s="898">
        <f t="shared" si="1"/>
        <v>8.8366592000000015</v>
      </c>
      <c r="T28" s="898">
        <f t="shared" si="2"/>
        <v>6.6194543000000001</v>
      </c>
      <c r="U28" s="898">
        <f t="shared" si="3"/>
        <v>3.0688216000000001</v>
      </c>
      <c r="V28" s="898">
        <f t="shared" si="4"/>
        <v>1.0088215999999999</v>
      </c>
      <c r="W28" s="945">
        <f t="shared" si="5"/>
        <v>2.6217807</v>
      </c>
      <c r="X28" s="656">
        <f t="shared" si="6"/>
        <v>0</v>
      </c>
      <c r="Y28" s="656">
        <f t="shared" si="6"/>
        <v>0</v>
      </c>
      <c r="Z28" s="656">
        <f t="shared" si="6"/>
        <v>0</v>
      </c>
      <c r="AA28" s="656">
        <f t="shared" si="6"/>
        <v>0</v>
      </c>
      <c r="AB28" s="946">
        <f t="shared" si="6"/>
        <v>0</v>
      </c>
      <c r="AC28" s="1108"/>
      <c r="AD28" s="1080" t="s">
        <v>784</v>
      </c>
      <c r="AE28" s="12">
        <f t="shared" si="18"/>
        <v>23</v>
      </c>
      <c r="AF28" s="949" t="s">
        <v>236</v>
      </c>
      <c r="AG28" s="698">
        <f t="shared" si="7"/>
        <v>0.13235294117647059</v>
      </c>
      <c r="AH28" s="698">
        <f t="shared" si="8"/>
        <v>0.23529411764705882</v>
      </c>
      <c r="AI28" s="698">
        <f t="shared" si="9"/>
        <v>0.33823529411764708</v>
      </c>
      <c r="AJ28" s="698">
        <f t="shared" si="10"/>
        <v>7.3529411764705885E-2</v>
      </c>
      <c r="AK28" s="710">
        <f t="shared" si="11"/>
        <v>0.22058823529411764</v>
      </c>
      <c r="AL28" s="891">
        <f t="shared" si="12"/>
        <v>0.3529411764705882</v>
      </c>
      <c r="AM28" s="698">
        <f t="shared" si="13"/>
        <v>0.23529411764705882</v>
      </c>
      <c r="AN28" s="698">
        <f t="shared" si="14"/>
        <v>0.33823529411764708</v>
      </c>
      <c r="AO28" s="710">
        <f t="shared" si="15"/>
        <v>7.3529411764705885E-2</v>
      </c>
      <c r="AP28" s="885">
        <v>2</v>
      </c>
      <c r="AQ28" s="877">
        <v>0</v>
      </c>
      <c r="AR28" s="877">
        <v>0</v>
      </c>
      <c r="AS28" s="877">
        <f t="shared" si="20"/>
        <v>0.92647058823529416</v>
      </c>
      <c r="AT28" s="886">
        <f t="shared" si="21"/>
        <v>7.3529411764705885E-2</v>
      </c>
      <c r="AU28" s="877">
        <f t="shared" si="22"/>
        <v>0.30705882352941172</v>
      </c>
      <c r="AV28" s="877">
        <f t="shared" si="22"/>
        <v>0.20470588235294118</v>
      </c>
      <c r="AW28" s="877">
        <f t="shared" si="22"/>
        <v>0.41470588235294126</v>
      </c>
      <c r="AX28" s="886">
        <f t="shared" si="22"/>
        <v>7.3529411764705899E-2</v>
      </c>
      <c r="AY28" s="1119"/>
    </row>
    <row r="29" spans="1:51" ht="15">
      <c r="A29" s="1108"/>
      <c r="B29" s="961">
        <v>67</v>
      </c>
      <c r="C29" s="927"/>
      <c r="D29" s="970" t="s">
        <v>1291</v>
      </c>
      <c r="E29" s="970">
        <v>33</v>
      </c>
      <c r="F29" s="929">
        <v>2</v>
      </c>
      <c r="G29" s="930">
        <v>3.6</v>
      </c>
      <c r="H29" s="942">
        <v>2.5409999999999999</v>
      </c>
      <c r="I29" s="943">
        <v>1.9200425699999999</v>
      </c>
      <c r="J29" s="943">
        <v>55.07</v>
      </c>
      <c r="K29" s="943">
        <v>1.635</v>
      </c>
      <c r="L29" s="944">
        <v>0</v>
      </c>
      <c r="M29" s="934">
        <v>9.0747958425229243</v>
      </c>
      <c r="N29" s="934">
        <v>4.5870922042189397</v>
      </c>
      <c r="O29" s="934">
        <v>10.338111953258133</v>
      </c>
      <c r="P29" s="934">
        <v>0</v>
      </c>
      <c r="Q29" s="934">
        <v>0.55788039859392347</v>
      </c>
      <c r="R29" s="935">
        <f t="shared" si="0"/>
        <v>10.410198142323965</v>
      </c>
      <c r="S29" s="898">
        <f t="shared" si="1"/>
        <v>8.8366592000000015</v>
      </c>
      <c r="T29" s="898">
        <f t="shared" si="2"/>
        <v>6.6194543000000001</v>
      </c>
      <c r="U29" s="898">
        <f t="shared" si="3"/>
        <v>3.0688216000000001</v>
      </c>
      <c r="V29" s="898">
        <f t="shared" si="4"/>
        <v>1.0088215999999999</v>
      </c>
      <c r="W29" s="945">
        <f t="shared" si="5"/>
        <v>2.6217807</v>
      </c>
      <c r="X29" s="656">
        <f t="shared" si="6"/>
        <v>0</v>
      </c>
      <c r="Y29" s="656">
        <f t="shared" si="6"/>
        <v>0</v>
      </c>
      <c r="Z29" s="656">
        <f t="shared" si="6"/>
        <v>0</v>
      </c>
      <c r="AA29" s="656">
        <f t="shared" si="6"/>
        <v>0</v>
      </c>
      <c r="AB29" s="946">
        <f t="shared" si="6"/>
        <v>0</v>
      </c>
      <c r="AC29" s="1108"/>
      <c r="AD29" s="1080" t="s">
        <v>114</v>
      </c>
      <c r="AE29" s="12">
        <f t="shared" si="18"/>
        <v>24</v>
      </c>
      <c r="AF29" s="971" t="s">
        <v>203</v>
      </c>
      <c r="AG29" s="878">
        <f t="shared" si="7"/>
        <v>6.0606060606060608E-2</v>
      </c>
      <c r="AH29" s="878">
        <f t="shared" si="8"/>
        <v>0.69696969696969702</v>
      </c>
      <c r="AI29" s="878">
        <f t="shared" si="9"/>
        <v>9.0909090909090912E-2</v>
      </c>
      <c r="AJ29" s="878">
        <f t="shared" si="10"/>
        <v>0</v>
      </c>
      <c r="AK29" s="890">
        <f t="shared" si="11"/>
        <v>0.15151515151515149</v>
      </c>
      <c r="AL29" s="972">
        <f t="shared" si="12"/>
        <v>0.2121212121212121</v>
      </c>
      <c r="AM29" s="878">
        <f t="shared" si="13"/>
        <v>0.69696969696969702</v>
      </c>
      <c r="AN29" s="878">
        <f t="shared" si="14"/>
        <v>9.0909090909090912E-2</v>
      </c>
      <c r="AO29" s="890">
        <f t="shared" si="15"/>
        <v>0</v>
      </c>
      <c r="AP29" s="948">
        <v>2</v>
      </c>
      <c r="AQ29" s="877">
        <v>0</v>
      </c>
      <c r="AR29" s="877">
        <v>0</v>
      </c>
      <c r="AS29" s="973">
        <f t="shared" si="20"/>
        <v>1</v>
      </c>
      <c r="AT29" s="974">
        <f t="shared" si="21"/>
        <v>0</v>
      </c>
      <c r="AU29" s="877">
        <f t="shared" ref="AU29" si="23">(AL29*(1-$AU$3))+(AQ29*$AU$3)</f>
        <v>0.18454545454545451</v>
      </c>
      <c r="AV29" s="877">
        <f t="shared" ref="AV29" si="24">(AM29*(1-$AU$3))+(AR29*$AU$3)</f>
        <v>0.60636363636363644</v>
      </c>
      <c r="AW29" s="877">
        <f t="shared" ref="AW29" si="25">(AN29*(1-$AU$3))+(AS29*$AU$3)</f>
        <v>0.20909090909090911</v>
      </c>
      <c r="AX29" s="886">
        <f t="shared" ref="AX29" si="26">(AO29*(1-$AU$3))+(AT29*$AU$3)</f>
        <v>0</v>
      </c>
      <c r="AY29" s="1119"/>
    </row>
    <row r="30" spans="1:51" ht="15">
      <c r="A30" s="1108"/>
      <c r="B30" s="961">
        <v>68</v>
      </c>
      <c r="C30" s="927"/>
      <c r="D30" s="970" t="s">
        <v>1291</v>
      </c>
      <c r="E30" s="970">
        <v>33</v>
      </c>
      <c r="F30" s="929">
        <v>2</v>
      </c>
      <c r="G30" s="930">
        <v>3.6</v>
      </c>
      <c r="H30" s="942">
        <v>1.962</v>
      </c>
      <c r="I30" s="943">
        <v>3.2738043000000001</v>
      </c>
      <c r="J30" s="943">
        <v>81.41</v>
      </c>
      <c r="K30" s="943">
        <v>2.21</v>
      </c>
      <c r="L30" s="944">
        <v>0</v>
      </c>
      <c r="M30" s="934">
        <v>9.0747958425229243</v>
      </c>
      <c r="N30" s="934">
        <v>4.5870922042189397</v>
      </c>
      <c r="O30" s="934">
        <v>10.338111953258133</v>
      </c>
      <c r="P30" s="934">
        <v>0</v>
      </c>
      <c r="Q30" s="934">
        <v>0.55788039859392347</v>
      </c>
      <c r="R30" s="935">
        <f t="shared" si="0"/>
        <v>14.722520054586054</v>
      </c>
      <c r="S30" s="898">
        <f t="shared" si="1"/>
        <v>8.7143744000000005</v>
      </c>
      <c r="T30" s="898">
        <f t="shared" si="2"/>
        <v>6.4965326000000001</v>
      </c>
      <c r="U30" s="898">
        <f t="shared" si="3"/>
        <v>3.0007312000000002</v>
      </c>
      <c r="V30" s="898">
        <f t="shared" si="4"/>
        <v>0.94073119999999999</v>
      </c>
      <c r="W30" s="945">
        <f t="shared" si="5"/>
        <v>2.5507374</v>
      </c>
      <c r="X30" s="656">
        <f t="shared" si="6"/>
        <v>0</v>
      </c>
      <c r="Y30" s="656">
        <f t="shared" si="6"/>
        <v>0</v>
      </c>
      <c r="Z30" s="656">
        <f t="shared" si="6"/>
        <v>0</v>
      </c>
      <c r="AA30" s="656">
        <f t="shared" si="6"/>
        <v>0</v>
      </c>
      <c r="AB30" s="946">
        <f t="shared" si="6"/>
        <v>0</v>
      </c>
      <c r="AC30" s="1108"/>
      <c r="AD30" s="1080" t="s">
        <v>115</v>
      </c>
      <c r="AE30" s="12">
        <f t="shared" si="18"/>
        <v>25</v>
      </c>
      <c r="AF30" s="949" t="s">
        <v>115</v>
      </c>
      <c r="AG30" s="698">
        <f t="shared" si="7"/>
        <v>0</v>
      </c>
      <c r="AH30" s="698">
        <f t="shared" si="8"/>
        <v>0.5</v>
      </c>
      <c r="AI30" s="698">
        <f t="shared" si="9"/>
        <v>0.25</v>
      </c>
      <c r="AJ30" s="698">
        <f t="shared" si="10"/>
        <v>0</v>
      </c>
      <c r="AK30" s="710">
        <f t="shared" si="11"/>
        <v>0.25</v>
      </c>
      <c r="AL30" s="891">
        <f t="shared" si="12"/>
        <v>0.25</v>
      </c>
      <c r="AM30" s="698">
        <f t="shared" si="13"/>
        <v>0.5</v>
      </c>
      <c r="AN30" s="698">
        <f t="shared" si="14"/>
        <v>0.25</v>
      </c>
      <c r="AO30" s="710">
        <f t="shared" si="15"/>
        <v>0</v>
      </c>
      <c r="AP30" s="885">
        <v>2</v>
      </c>
      <c r="AQ30" s="877">
        <v>0</v>
      </c>
      <c r="AR30" s="877">
        <v>0</v>
      </c>
      <c r="AS30" s="877">
        <f t="shared" si="20"/>
        <v>1</v>
      </c>
      <c r="AT30" s="886">
        <f t="shared" si="21"/>
        <v>0</v>
      </c>
      <c r="AU30" s="877">
        <f t="shared" ref="AU30:AX35" si="27">(AL30*(1-$AU$3))+(AQ30*$AU$3)</f>
        <v>0.2175</v>
      </c>
      <c r="AV30" s="877">
        <f t="shared" si="27"/>
        <v>0.435</v>
      </c>
      <c r="AW30" s="877">
        <f t="shared" si="27"/>
        <v>0.34750000000000003</v>
      </c>
      <c r="AX30" s="886">
        <f t="shared" si="27"/>
        <v>0</v>
      </c>
      <c r="AY30" s="1119"/>
    </row>
    <row r="31" spans="1:51" ht="15">
      <c r="A31" s="1108"/>
      <c r="B31" s="961">
        <v>69</v>
      </c>
      <c r="C31" s="927"/>
      <c r="D31" s="970" t="s">
        <v>1291</v>
      </c>
      <c r="E31" s="970">
        <v>33</v>
      </c>
      <c r="F31" s="929">
        <v>2</v>
      </c>
      <c r="G31" s="930">
        <v>3.6</v>
      </c>
      <c r="H31" s="942">
        <v>1.962</v>
      </c>
      <c r="I31" s="943">
        <v>3.2654043100000001</v>
      </c>
      <c r="J31" s="943">
        <v>81.09</v>
      </c>
      <c r="K31" s="943">
        <v>2.21</v>
      </c>
      <c r="L31" s="944">
        <v>0</v>
      </c>
      <c r="M31" s="934">
        <v>9.0747958425229243</v>
      </c>
      <c r="N31" s="934">
        <v>4.5870922042189397</v>
      </c>
      <c r="O31" s="934">
        <v>10.338111953258133</v>
      </c>
      <c r="P31" s="934">
        <v>0</v>
      </c>
      <c r="Q31" s="934">
        <v>0.55788039859392347</v>
      </c>
      <c r="R31" s="935">
        <f t="shared" si="0"/>
        <v>14.670587355479924</v>
      </c>
      <c r="S31" s="898">
        <f t="shared" si="1"/>
        <v>8.7143744000000005</v>
      </c>
      <c r="T31" s="898">
        <f t="shared" si="2"/>
        <v>6.4965326000000001</v>
      </c>
      <c r="U31" s="898">
        <f t="shared" si="3"/>
        <v>3.0007312000000002</v>
      </c>
      <c r="V31" s="898">
        <f t="shared" si="4"/>
        <v>0.94073119999999999</v>
      </c>
      <c r="W31" s="945">
        <f t="shared" si="5"/>
        <v>2.5507374</v>
      </c>
      <c r="X31" s="656">
        <f t="shared" si="6"/>
        <v>0</v>
      </c>
      <c r="Y31" s="656">
        <f t="shared" si="6"/>
        <v>0</v>
      </c>
      <c r="Z31" s="656">
        <f t="shared" si="6"/>
        <v>0</v>
      </c>
      <c r="AA31" s="656">
        <f t="shared" si="6"/>
        <v>0</v>
      </c>
      <c r="AB31" s="946">
        <f t="shared" si="6"/>
        <v>0</v>
      </c>
      <c r="AC31" s="1108"/>
      <c r="AD31" s="1080" t="s">
        <v>116</v>
      </c>
      <c r="AE31" s="12">
        <f t="shared" si="18"/>
        <v>26</v>
      </c>
      <c r="AF31" s="949" t="s">
        <v>236</v>
      </c>
      <c r="AG31" s="698">
        <f t="shared" si="7"/>
        <v>0.13235294117647059</v>
      </c>
      <c r="AH31" s="698">
        <f t="shared" si="8"/>
        <v>0.23529411764705882</v>
      </c>
      <c r="AI31" s="698">
        <f t="shared" si="9"/>
        <v>0.33823529411764708</v>
      </c>
      <c r="AJ31" s="698">
        <f t="shared" si="10"/>
        <v>7.3529411764705885E-2</v>
      </c>
      <c r="AK31" s="710">
        <f t="shared" si="11"/>
        <v>0.22058823529411764</v>
      </c>
      <c r="AL31" s="891">
        <f t="shared" si="12"/>
        <v>0.3529411764705882</v>
      </c>
      <c r="AM31" s="698">
        <f t="shared" si="13"/>
        <v>0.23529411764705882</v>
      </c>
      <c r="AN31" s="698">
        <f t="shared" si="14"/>
        <v>0.33823529411764708</v>
      </c>
      <c r="AO31" s="710">
        <f t="shared" si="15"/>
        <v>7.3529411764705885E-2</v>
      </c>
      <c r="AP31" s="885">
        <v>2</v>
      </c>
      <c r="AQ31" s="877">
        <v>0</v>
      </c>
      <c r="AR31" s="877">
        <v>0</v>
      </c>
      <c r="AS31" s="877">
        <f t="shared" si="20"/>
        <v>0.92647058823529416</v>
      </c>
      <c r="AT31" s="886">
        <f t="shared" si="21"/>
        <v>7.3529411764705885E-2</v>
      </c>
      <c r="AU31" s="877">
        <f t="shared" si="27"/>
        <v>0.30705882352941172</v>
      </c>
      <c r="AV31" s="877">
        <f t="shared" si="27"/>
        <v>0.20470588235294118</v>
      </c>
      <c r="AW31" s="877">
        <f t="shared" si="27"/>
        <v>0.41470588235294126</v>
      </c>
      <c r="AX31" s="886">
        <f t="shared" si="27"/>
        <v>7.3529411764705899E-2</v>
      </c>
      <c r="AY31" s="1119"/>
    </row>
    <row r="32" spans="1:51" ht="15">
      <c r="A32" s="1108"/>
      <c r="B32" s="961">
        <v>73</v>
      </c>
      <c r="C32" s="927"/>
      <c r="D32" s="970" t="s">
        <v>1291</v>
      </c>
      <c r="E32" s="970">
        <v>33</v>
      </c>
      <c r="F32" s="929">
        <v>2</v>
      </c>
      <c r="G32" s="930">
        <v>3.6</v>
      </c>
      <c r="H32" s="942">
        <v>2.1092849999999999</v>
      </c>
      <c r="I32" s="943">
        <v>3.1659114000000002</v>
      </c>
      <c r="J32" s="943">
        <v>76.025670399999996</v>
      </c>
      <c r="K32" s="943">
        <v>1.8778739999999998</v>
      </c>
      <c r="L32" s="944">
        <v>0</v>
      </c>
      <c r="M32" s="934">
        <v>9.0747958425229243</v>
      </c>
      <c r="N32" s="934">
        <v>4.5870922042189397</v>
      </c>
      <c r="O32" s="934">
        <v>10.338111953258133</v>
      </c>
      <c r="P32" s="934">
        <v>0</v>
      </c>
      <c r="Q32" s="934">
        <v>0.55788039859392347</v>
      </c>
      <c r="R32" s="935">
        <f t="shared" si="0"/>
        <v>13.209965176881727</v>
      </c>
      <c r="S32" s="898">
        <f t="shared" si="1"/>
        <v>8.745480992000001</v>
      </c>
      <c r="T32" s="898">
        <f t="shared" si="2"/>
        <v>6.5278012055000003</v>
      </c>
      <c r="U32" s="898">
        <f t="shared" si="3"/>
        <v>3.0180519160000001</v>
      </c>
      <c r="V32" s="898">
        <f t="shared" si="4"/>
        <v>0.95805191599999995</v>
      </c>
      <c r="W32" s="945">
        <f t="shared" si="5"/>
        <v>2.5688092695</v>
      </c>
      <c r="X32" s="656">
        <f t="shared" si="6"/>
        <v>0</v>
      </c>
      <c r="Y32" s="656">
        <f t="shared" si="6"/>
        <v>0</v>
      </c>
      <c r="Z32" s="656">
        <f t="shared" si="6"/>
        <v>0</v>
      </c>
      <c r="AA32" s="656">
        <f t="shared" si="6"/>
        <v>0</v>
      </c>
      <c r="AB32" s="946">
        <f t="shared" si="6"/>
        <v>0</v>
      </c>
      <c r="AC32" s="1108"/>
      <c r="AD32" s="1080" t="s">
        <v>117</v>
      </c>
      <c r="AE32" s="12">
        <f t="shared" si="18"/>
        <v>27</v>
      </c>
      <c r="AF32" s="949" t="s">
        <v>236</v>
      </c>
      <c r="AG32" s="698">
        <f t="shared" si="7"/>
        <v>0.13235294117647059</v>
      </c>
      <c r="AH32" s="698">
        <f t="shared" si="8"/>
        <v>0.23529411764705882</v>
      </c>
      <c r="AI32" s="698">
        <f t="shared" si="9"/>
        <v>0.33823529411764708</v>
      </c>
      <c r="AJ32" s="698">
        <f t="shared" si="10"/>
        <v>7.3529411764705885E-2</v>
      </c>
      <c r="AK32" s="710">
        <f t="shared" si="11"/>
        <v>0.22058823529411764</v>
      </c>
      <c r="AL32" s="891">
        <f t="shared" si="12"/>
        <v>0.3529411764705882</v>
      </c>
      <c r="AM32" s="698">
        <f t="shared" si="13"/>
        <v>0.23529411764705882</v>
      </c>
      <c r="AN32" s="698">
        <f t="shared" si="14"/>
        <v>0.33823529411764708</v>
      </c>
      <c r="AO32" s="710">
        <f t="shared" si="15"/>
        <v>7.3529411764705885E-2</v>
      </c>
      <c r="AP32" s="885">
        <v>2</v>
      </c>
      <c r="AQ32" s="877">
        <v>0</v>
      </c>
      <c r="AR32" s="877">
        <v>0</v>
      </c>
      <c r="AS32" s="877">
        <f t="shared" si="20"/>
        <v>0.92647058823529416</v>
      </c>
      <c r="AT32" s="886">
        <f t="shared" si="21"/>
        <v>7.3529411764705885E-2</v>
      </c>
      <c r="AU32" s="877">
        <f t="shared" si="27"/>
        <v>0.30705882352941172</v>
      </c>
      <c r="AV32" s="877">
        <f t="shared" si="27"/>
        <v>0.20470588235294118</v>
      </c>
      <c r="AW32" s="877">
        <f t="shared" si="27"/>
        <v>0.41470588235294126</v>
      </c>
      <c r="AX32" s="886">
        <f t="shared" si="27"/>
        <v>7.3529411764705899E-2</v>
      </c>
      <c r="AY32" s="1119"/>
    </row>
    <row r="33" spans="1:51" ht="15">
      <c r="A33" s="1108"/>
      <c r="B33" s="961">
        <v>74</v>
      </c>
      <c r="C33" s="927"/>
      <c r="D33" s="970" t="s">
        <v>1291</v>
      </c>
      <c r="E33" s="970">
        <v>33</v>
      </c>
      <c r="F33" s="929">
        <v>2</v>
      </c>
      <c r="G33" s="930">
        <v>3.6</v>
      </c>
      <c r="H33" s="942">
        <v>2.2692549999999998</v>
      </c>
      <c r="I33" s="943">
        <v>2.4222793999999999</v>
      </c>
      <c r="J33" s="943">
        <v>58.509278999999999</v>
      </c>
      <c r="K33" s="943">
        <v>1.27203</v>
      </c>
      <c r="L33" s="944">
        <v>0</v>
      </c>
      <c r="M33" s="934">
        <v>9.0747958425229243</v>
      </c>
      <c r="N33" s="934">
        <v>4.5870922042189397</v>
      </c>
      <c r="O33" s="934">
        <v>10.338111953258133</v>
      </c>
      <c r="P33" s="934">
        <v>0</v>
      </c>
      <c r="Q33" s="934">
        <v>0.55788039859392347</v>
      </c>
      <c r="R33" s="935">
        <f t="shared" si="0"/>
        <v>9.7672555325857129</v>
      </c>
      <c r="S33" s="898">
        <f t="shared" si="1"/>
        <v>8.7792666560000008</v>
      </c>
      <c r="T33" s="898">
        <f t="shared" si="2"/>
        <v>6.5617628364999998</v>
      </c>
      <c r="U33" s="898">
        <f t="shared" si="3"/>
        <v>3.0368643880000001</v>
      </c>
      <c r="V33" s="898">
        <f t="shared" si="4"/>
        <v>0.97686438799999986</v>
      </c>
      <c r="W33" s="945">
        <f t="shared" si="5"/>
        <v>2.5884375885000002</v>
      </c>
      <c r="X33" s="656">
        <f t="shared" si="6"/>
        <v>0</v>
      </c>
      <c r="Y33" s="656">
        <f t="shared" si="6"/>
        <v>0</v>
      </c>
      <c r="Z33" s="656">
        <f t="shared" si="6"/>
        <v>0</v>
      </c>
      <c r="AA33" s="656">
        <f t="shared" si="6"/>
        <v>0</v>
      </c>
      <c r="AB33" s="946">
        <f t="shared" si="6"/>
        <v>0</v>
      </c>
      <c r="AC33" s="1108"/>
      <c r="AD33" s="1080" t="s">
        <v>118</v>
      </c>
      <c r="AE33" s="12">
        <f t="shared" si="18"/>
        <v>28</v>
      </c>
      <c r="AF33" s="949" t="s">
        <v>236</v>
      </c>
      <c r="AG33" s="698">
        <f t="shared" si="7"/>
        <v>0.13235294117647059</v>
      </c>
      <c r="AH33" s="698">
        <f t="shared" si="8"/>
        <v>0.23529411764705882</v>
      </c>
      <c r="AI33" s="698">
        <f t="shared" si="9"/>
        <v>0.33823529411764708</v>
      </c>
      <c r="AJ33" s="698">
        <f t="shared" si="10"/>
        <v>7.3529411764705885E-2</v>
      </c>
      <c r="AK33" s="710">
        <f t="shared" si="11"/>
        <v>0.22058823529411764</v>
      </c>
      <c r="AL33" s="891">
        <f t="shared" si="12"/>
        <v>0.3529411764705882</v>
      </c>
      <c r="AM33" s="698">
        <f t="shared" si="13"/>
        <v>0.23529411764705882</v>
      </c>
      <c r="AN33" s="698">
        <f t="shared" si="14"/>
        <v>0.33823529411764708</v>
      </c>
      <c r="AO33" s="710">
        <f t="shared" si="15"/>
        <v>7.3529411764705885E-2</v>
      </c>
      <c r="AP33" s="885">
        <v>2</v>
      </c>
      <c r="AQ33" s="877">
        <v>0</v>
      </c>
      <c r="AR33" s="877">
        <v>0</v>
      </c>
      <c r="AS33" s="877">
        <f t="shared" si="20"/>
        <v>0.92647058823529416</v>
      </c>
      <c r="AT33" s="886">
        <f t="shared" si="21"/>
        <v>7.3529411764705885E-2</v>
      </c>
      <c r="AU33" s="877">
        <f t="shared" si="27"/>
        <v>0.30705882352941172</v>
      </c>
      <c r="AV33" s="877">
        <f t="shared" si="27"/>
        <v>0.20470588235294118</v>
      </c>
      <c r="AW33" s="877">
        <f t="shared" si="27"/>
        <v>0.41470588235294126</v>
      </c>
      <c r="AX33" s="886">
        <f t="shared" si="27"/>
        <v>7.3529411764705899E-2</v>
      </c>
      <c r="AY33" s="1119"/>
    </row>
    <row r="34" spans="1:51" ht="15">
      <c r="A34" s="1108"/>
      <c r="B34" s="961">
        <v>85</v>
      </c>
      <c r="C34" s="927"/>
      <c r="D34" s="970" t="s">
        <v>1291</v>
      </c>
      <c r="E34" s="970">
        <v>33</v>
      </c>
      <c r="F34" s="929">
        <v>2</v>
      </c>
      <c r="G34" s="930">
        <v>2.4</v>
      </c>
      <c r="H34" s="942">
        <v>1.9740489999999999</v>
      </c>
      <c r="I34" s="943">
        <v>2.0143830999999999</v>
      </c>
      <c r="J34" s="943">
        <v>56.298379699999998</v>
      </c>
      <c r="K34" s="943">
        <v>1.819788</v>
      </c>
      <c r="L34" s="944">
        <v>0</v>
      </c>
      <c r="M34" s="934">
        <v>9.0747958425229243</v>
      </c>
      <c r="N34" s="934">
        <v>4.5870922042189397</v>
      </c>
      <c r="O34" s="934">
        <v>10.338111953258133</v>
      </c>
      <c r="P34" s="934">
        <v>0</v>
      </c>
      <c r="Q34" s="934">
        <v>0.55788039859392347</v>
      </c>
      <c r="R34" s="935">
        <f t="shared" si="0"/>
        <v>10.936602190116119</v>
      </c>
      <c r="S34" s="898">
        <f t="shared" si="1"/>
        <v>8.7169191488000006</v>
      </c>
      <c r="T34" s="898">
        <f t="shared" si="2"/>
        <v>6.4990906026999999</v>
      </c>
      <c r="U34" s="898">
        <f t="shared" si="3"/>
        <v>3.0021481624000002</v>
      </c>
      <c r="V34" s="898">
        <f t="shared" si="4"/>
        <v>0.94214816239999999</v>
      </c>
      <c r="W34" s="945">
        <f t="shared" si="5"/>
        <v>2.5522158123000001</v>
      </c>
      <c r="X34" s="656">
        <f t="shared" si="6"/>
        <v>0</v>
      </c>
      <c r="Y34" s="656">
        <f t="shared" si="6"/>
        <v>0</v>
      </c>
      <c r="Z34" s="656">
        <f t="shared" si="6"/>
        <v>0</v>
      </c>
      <c r="AA34" s="656">
        <f t="shared" si="6"/>
        <v>0</v>
      </c>
      <c r="AB34" s="946">
        <f t="shared" si="6"/>
        <v>0</v>
      </c>
      <c r="AC34" s="1108"/>
      <c r="AD34" s="1080" t="s">
        <v>119</v>
      </c>
      <c r="AE34" s="12">
        <f t="shared" si="18"/>
        <v>29</v>
      </c>
      <c r="AF34" s="949" t="s">
        <v>119</v>
      </c>
      <c r="AG34" s="698">
        <f t="shared" si="7"/>
        <v>0</v>
      </c>
      <c r="AH34" s="698">
        <f t="shared" si="8"/>
        <v>0.27272727272727271</v>
      </c>
      <c r="AI34" s="698">
        <f t="shared" si="9"/>
        <v>0.72727272727272729</v>
      </c>
      <c r="AJ34" s="698">
        <f t="shared" si="10"/>
        <v>0</v>
      </c>
      <c r="AK34" s="710">
        <f t="shared" si="11"/>
        <v>0</v>
      </c>
      <c r="AL34" s="891">
        <f t="shared" si="12"/>
        <v>0</v>
      </c>
      <c r="AM34" s="698">
        <f t="shared" si="13"/>
        <v>0.27272727272727271</v>
      </c>
      <c r="AN34" s="698">
        <f t="shared" si="14"/>
        <v>0.72727272727272729</v>
      </c>
      <c r="AO34" s="710">
        <f t="shared" si="15"/>
        <v>0</v>
      </c>
      <c r="AP34" s="885">
        <v>2</v>
      </c>
      <c r="AQ34" s="877">
        <v>0</v>
      </c>
      <c r="AR34" s="877">
        <v>0</v>
      </c>
      <c r="AS34" s="877">
        <f t="shared" si="20"/>
        <v>1</v>
      </c>
      <c r="AT34" s="886">
        <f t="shared" si="21"/>
        <v>0</v>
      </c>
      <c r="AU34" s="877">
        <f t="shared" si="27"/>
        <v>0</v>
      </c>
      <c r="AV34" s="877">
        <f t="shared" si="27"/>
        <v>0.23727272727272725</v>
      </c>
      <c r="AW34" s="877">
        <f t="shared" si="27"/>
        <v>0.7627272727272727</v>
      </c>
      <c r="AX34" s="886">
        <f t="shared" si="27"/>
        <v>0</v>
      </c>
      <c r="AY34" s="1119"/>
    </row>
    <row r="35" spans="1:51" ht="15">
      <c r="A35" s="1108"/>
      <c r="B35" s="961">
        <v>88</v>
      </c>
      <c r="C35" s="927"/>
      <c r="D35" s="970" t="s">
        <v>1291</v>
      </c>
      <c r="E35" s="970">
        <v>33</v>
      </c>
      <c r="F35" s="929">
        <v>2</v>
      </c>
      <c r="G35" s="930">
        <v>3.6</v>
      </c>
      <c r="H35" s="942">
        <v>2.1088200000000001</v>
      </c>
      <c r="I35" s="943">
        <v>2.6936764599999998</v>
      </c>
      <c r="J35" s="943">
        <v>64.801917799999998</v>
      </c>
      <c r="K35" s="943">
        <v>0</v>
      </c>
      <c r="L35" s="944">
        <v>0</v>
      </c>
      <c r="M35" s="934">
        <v>9.0747958425229243</v>
      </c>
      <c r="N35" s="934">
        <v>4.5870922042189397</v>
      </c>
      <c r="O35" s="934">
        <v>10.338111953258133</v>
      </c>
      <c r="P35" s="934">
        <v>0</v>
      </c>
      <c r="Q35" s="934">
        <v>0.55788039859392347</v>
      </c>
      <c r="R35" s="935">
        <f t="shared" si="0"/>
        <v>8.5241483871067878</v>
      </c>
      <c r="S35" s="898">
        <f t="shared" si="1"/>
        <v>8.7453827840000002</v>
      </c>
      <c r="T35" s="898">
        <f t="shared" si="2"/>
        <v>6.5277024859999999</v>
      </c>
      <c r="U35" s="898">
        <f t="shared" si="3"/>
        <v>3.0179972319999999</v>
      </c>
      <c r="V35" s="898">
        <f t="shared" si="4"/>
        <v>0.95799723199999998</v>
      </c>
      <c r="W35" s="945">
        <f t="shared" si="5"/>
        <v>2.5687522139999999</v>
      </c>
      <c r="X35" s="656">
        <f t="shared" si="6"/>
        <v>1</v>
      </c>
      <c r="Y35" s="656">
        <f t="shared" si="6"/>
        <v>0</v>
      </c>
      <c r="Z35" s="656">
        <f t="shared" si="6"/>
        <v>0</v>
      </c>
      <c r="AA35" s="656">
        <f t="shared" si="6"/>
        <v>0</v>
      </c>
      <c r="AB35" s="946">
        <f t="shared" si="6"/>
        <v>0</v>
      </c>
      <c r="AC35" s="1108"/>
      <c r="AD35" s="1080" t="s">
        <v>778</v>
      </c>
      <c r="AE35" s="12">
        <f t="shared" si="18"/>
        <v>30</v>
      </c>
      <c r="AF35" s="949" t="s">
        <v>119</v>
      </c>
      <c r="AG35" s="698">
        <f t="shared" si="7"/>
        <v>0</v>
      </c>
      <c r="AH35" s="698">
        <f t="shared" si="8"/>
        <v>0.27272727272727271</v>
      </c>
      <c r="AI35" s="698">
        <f t="shared" si="9"/>
        <v>0.72727272727272729</v>
      </c>
      <c r="AJ35" s="698">
        <f t="shared" si="10"/>
        <v>0</v>
      </c>
      <c r="AK35" s="710">
        <f t="shared" si="11"/>
        <v>0</v>
      </c>
      <c r="AL35" s="891">
        <f t="shared" si="12"/>
        <v>0</v>
      </c>
      <c r="AM35" s="698">
        <f t="shared" si="13"/>
        <v>0.27272727272727271</v>
      </c>
      <c r="AN35" s="698">
        <f t="shared" si="14"/>
        <v>0.72727272727272729</v>
      </c>
      <c r="AO35" s="710">
        <f t="shared" si="15"/>
        <v>0</v>
      </c>
      <c r="AP35" s="885">
        <v>2</v>
      </c>
      <c r="AQ35" s="877">
        <v>0</v>
      </c>
      <c r="AR35" s="877">
        <v>0</v>
      </c>
      <c r="AS35" s="877">
        <f t="shared" si="20"/>
        <v>1</v>
      </c>
      <c r="AT35" s="886">
        <f t="shared" si="21"/>
        <v>0</v>
      </c>
      <c r="AU35" s="877">
        <f t="shared" si="27"/>
        <v>0</v>
      </c>
      <c r="AV35" s="877">
        <f t="shared" si="27"/>
        <v>0.23727272727272725</v>
      </c>
      <c r="AW35" s="877">
        <f t="shared" si="27"/>
        <v>0.7627272727272727</v>
      </c>
      <c r="AX35" s="886">
        <f t="shared" si="27"/>
        <v>0</v>
      </c>
      <c r="AY35" s="1119"/>
    </row>
    <row r="36" spans="1:51" ht="15">
      <c r="A36" s="1108"/>
      <c r="B36" s="965" t="s">
        <v>1292</v>
      </c>
      <c r="C36" s="966"/>
      <c r="D36" s="967" t="s">
        <v>1291</v>
      </c>
      <c r="E36" s="970">
        <v>33</v>
      </c>
      <c r="F36" s="968">
        <v>2</v>
      </c>
      <c r="G36" s="965">
        <v>2.4</v>
      </c>
      <c r="H36" s="958">
        <v>1.5523168500000517</v>
      </c>
      <c r="I36" s="959">
        <v>0.42399999999999993</v>
      </c>
      <c r="J36" s="959">
        <v>17.170491111111112</v>
      </c>
      <c r="K36" s="959">
        <v>8.2809523809523791E-2</v>
      </c>
      <c r="L36" s="944">
        <v>0</v>
      </c>
      <c r="M36" s="934">
        <v>9.0747958425229243</v>
      </c>
      <c r="N36" s="934">
        <v>4.5870922042189397</v>
      </c>
      <c r="O36" s="934">
        <v>10.338111953258133</v>
      </c>
      <c r="P36" s="934">
        <v>0</v>
      </c>
      <c r="Q36" s="934">
        <v>0.55788039859392347</v>
      </c>
      <c r="R36" s="935">
        <f t="shared" si="0"/>
        <v>2.6512325070832601</v>
      </c>
      <c r="S36" s="898">
        <f t="shared" si="1"/>
        <v>8.6278493187200116</v>
      </c>
      <c r="T36" s="898">
        <f t="shared" si="2"/>
        <v>6.4095568672550112</v>
      </c>
      <c r="U36" s="898">
        <f t="shared" si="3"/>
        <v>2.9525524615600061</v>
      </c>
      <c r="V36" s="898">
        <f t="shared" si="4"/>
        <v>0.89255246156000601</v>
      </c>
      <c r="W36" s="945">
        <f t="shared" si="5"/>
        <v>2.5004692774950064</v>
      </c>
      <c r="X36" s="656">
        <f t="shared" si="6"/>
        <v>1</v>
      </c>
      <c r="Y36" s="656">
        <f t="shared" si="6"/>
        <v>1</v>
      </c>
      <c r="Z36" s="656">
        <f t="shared" si="6"/>
        <v>1</v>
      </c>
      <c r="AA36" s="656">
        <f t="shared" si="6"/>
        <v>0</v>
      </c>
      <c r="AB36" s="946">
        <f t="shared" si="6"/>
        <v>0</v>
      </c>
      <c r="AC36" s="1108"/>
      <c r="AD36" s="1079" t="s">
        <v>120</v>
      </c>
      <c r="AE36" s="938">
        <f t="shared" si="18"/>
        <v>31</v>
      </c>
      <c r="AF36" s="947" t="s">
        <v>283</v>
      </c>
      <c r="AG36" s="708" t="str">
        <f t="shared" si="7"/>
        <v>-</v>
      </c>
      <c r="AH36" s="708" t="str">
        <f t="shared" si="8"/>
        <v>-</v>
      </c>
      <c r="AI36" s="708" t="str">
        <f t="shared" si="9"/>
        <v>-</v>
      </c>
      <c r="AJ36" s="708" t="str">
        <f t="shared" si="10"/>
        <v>-</v>
      </c>
      <c r="AK36" s="709">
        <f t="shared" si="11"/>
        <v>1</v>
      </c>
      <c r="AL36" s="941" t="str">
        <f t="shared" si="12"/>
        <v xml:space="preserve"> </v>
      </c>
      <c r="AM36" s="708" t="str">
        <f t="shared" si="13"/>
        <v xml:space="preserve"> </v>
      </c>
      <c r="AN36" s="708" t="str">
        <f t="shared" si="14"/>
        <v xml:space="preserve"> </v>
      </c>
      <c r="AO36" s="709" t="str">
        <f t="shared" si="15"/>
        <v xml:space="preserve"> </v>
      </c>
      <c r="AP36" s="1131" t="s">
        <v>283</v>
      </c>
      <c r="AQ36" s="883"/>
      <c r="AR36" s="883"/>
      <c r="AS36" s="883" t="str">
        <f t="shared" si="20"/>
        <v xml:space="preserve"> </v>
      </c>
      <c r="AT36" s="884" t="str">
        <f t="shared" si="21"/>
        <v xml:space="preserve"> </v>
      </c>
      <c r="AU36" s="883"/>
      <c r="AV36" s="883"/>
      <c r="AW36" s="883"/>
      <c r="AX36" s="884"/>
      <c r="AY36" s="1119"/>
    </row>
    <row r="37" spans="1:51" ht="15">
      <c r="A37" s="1108"/>
      <c r="B37" s="965" t="s">
        <v>1293</v>
      </c>
      <c r="C37" s="966"/>
      <c r="D37" s="967" t="s">
        <v>1291</v>
      </c>
      <c r="E37" s="970">
        <v>33</v>
      </c>
      <c r="F37" s="968">
        <v>2</v>
      </c>
      <c r="G37" s="965">
        <v>2.4</v>
      </c>
      <c r="H37" s="958">
        <v>1.3164275666666712</v>
      </c>
      <c r="I37" s="959">
        <v>1.5429999999999993</v>
      </c>
      <c r="J37" s="959">
        <v>43.31636666666666</v>
      </c>
      <c r="K37" s="959">
        <v>1.0392908777969019</v>
      </c>
      <c r="L37" s="944">
        <v>0</v>
      </c>
      <c r="M37" s="934">
        <v>9.0747958425229243</v>
      </c>
      <c r="N37" s="934">
        <v>4.5870922042189397</v>
      </c>
      <c r="O37" s="934">
        <v>10.338111953258133</v>
      </c>
      <c r="P37" s="934">
        <v>0</v>
      </c>
      <c r="Q37" s="934">
        <v>0.55788039859392347</v>
      </c>
      <c r="R37" s="935">
        <f t="shared" si="0"/>
        <v>7.8625558535257714</v>
      </c>
      <c r="S37" s="898">
        <f t="shared" si="1"/>
        <v>8.5780295020800015</v>
      </c>
      <c r="T37" s="898">
        <f t="shared" si="2"/>
        <v>6.3594775724033346</v>
      </c>
      <c r="U37" s="898">
        <f t="shared" si="3"/>
        <v>2.9248118818400006</v>
      </c>
      <c r="V37" s="898">
        <f t="shared" si="4"/>
        <v>0.86481188184000046</v>
      </c>
      <c r="W37" s="945">
        <f t="shared" si="5"/>
        <v>2.4715256624300004</v>
      </c>
      <c r="X37" s="656">
        <f t="shared" si="6"/>
        <v>1</v>
      </c>
      <c r="Y37" s="656">
        <f t="shared" si="6"/>
        <v>0</v>
      </c>
      <c r="Z37" s="656">
        <f t="shared" si="6"/>
        <v>0</v>
      </c>
      <c r="AA37" s="656">
        <f t="shared" si="6"/>
        <v>0</v>
      </c>
      <c r="AB37" s="946">
        <f t="shared" si="6"/>
        <v>0</v>
      </c>
      <c r="AC37" s="1108"/>
      <c r="AD37" s="1080" t="s">
        <v>184</v>
      </c>
      <c r="AE37" s="12">
        <f t="shared" si="18"/>
        <v>32</v>
      </c>
      <c r="AF37" s="949" t="s">
        <v>1158</v>
      </c>
      <c r="AG37" s="698">
        <f t="shared" si="7"/>
        <v>0.2608695652173913</v>
      </c>
      <c r="AH37" s="698">
        <f t="shared" si="8"/>
        <v>0.21739130434782608</v>
      </c>
      <c r="AI37" s="698">
        <f t="shared" si="9"/>
        <v>8.6956521739130432E-2</v>
      </c>
      <c r="AJ37" s="698">
        <f t="shared" si="10"/>
        <v>0</v>
      </c>
      <c r="AK37" s="710">
        <f t="shared" si="11"/>
        <v>0.43478260869565211</v>
      </c>
      <c r="AL37" s="891">
        <f t="shared" si="12"/>
        <v>0.69565217391304346</v>
      </c>
      <c r="AM37" s="698">
        <f t="shared" si="13"/>
        <v>0.21739130434782608</v>
      </c>
      <c r="AN37" s="698">
        <f t="shared" si="14"/>
        <v>8.6956521739130432E-2</v>
      </c>
      <c r="AO37" s="710">
        <f t="shared" si="15"/>
        <v>0</v>
      </c>
      <c r="AP37" s="885">
        <v>2</v>
      </c>
      <c r="AQ37" s="877">
        <v>0</v>
      </c>
      <c r="AR37" s="877">
        <v>0</v>
      </c>
      <c r="AS37" s="877">
        <f t="shared" si="20"/>
        <v>1</v>
      </c>
      <c r="AT37" s="886">
        <f t="shared" si="21"/>
        <v>0</v>
      </c>
      <c r="AU37" s="877">
        <f t="shared" ref="AU37:AX38" si="28">(AL37*(1-$AU$3))+(AQ37*$AU$3)</f>
        <v>0.60521739130434782</v>
      </c>
      <c r="AV37" s="877">
        <f t="shared" si="28"/>
        <v>0.18913043478260869</v>
      </c>
      <c r="AW37" s="877">
        <f t="shared" si="28"/>
        <v>0.20565217391304347</v>
      </c>
      <c r="AX37" s="886">
        <f t="shared" si="28"/>
        <v>0</v>
      </c>
      <c r="AY37" s="1119"/>
    </row>
    <row r="38" spans="1:51" ht="15">
      <c r="A38" s="1110"/>
      <c r="B38" s="965" t="s">
        <v>1294</v>
      </c>
      <c r="C38" s="966"/>
      <c r="D38" s="975" t="s">
        <v>1291</v>
      </c>
      <c r="E38" s="970">
        <v>33</v>
      </c>
      <c r="F38" s="968">
        <v>2</v>
      </c>
      <c r="G38" s="965">
        <v>2.4</v>
      </c>
      <c r="H38" s="958">
        <v>1.342424999999885</v>
      </c>
      <c r="I38" s="959">
        <v>1.8903999999999996</v>
      </c>
      <c r="J38" s="959">
        <v>45.581005111111111</v>
      </c>
      <c r="K38" s="959">
        <v>1.05504</v>
      </c>
      <c r="L38" s="944">
        <v>0</v>
      </c>
      <c r="M38" s="934">
        <v>9.0747958425229243</v>
      </c>
      <c r="N38" s="934">
        <v>4.5870922042189397</v>
      </c>
      <c r="O38" s="934">
        <v>10.338111953258133</v>
      </c>
      <c r="P38" s="934">
        <v>0</v>
      </c>
      <c r="Q38" s="934">
        <v>0.55788039859392347</v>
      </c>
      <c r="R38" s="935">
        <f t="shared" si="0"/>
        <v>7.7977088875959515</v>
      </c>
      <c r="S38" s="898">
        <f t="shared" si="1"/>
        <v>8.583520159999976</v>
      </c>
      <c r="T38" s="898">
        <f t="shared" si="2"/>
        <v>6.3649968274999758</v>
      </c>
      <c r="U38" s="898">
        <f t="shared" si="3"/>
        <v>2.9278691799999863</v>
      </c>
      <c r="V38" s="898">
        <f t="shared" si="4"/>
        <v>0.86786917999998647</v>
      </c>
      <c r="W38" s="945">
        <f t="shared" si="5"/>
        <v>2.474715547499986</v>
      </c>
      <c r="X38" s="656">
        <f t="shared" si="6"/>
        <v>1</v>
      </c>
      <c r="Y38" s="656">
        <f t="shared" si="6"/>
        <v>0</v>
      </c>
      <c r="Z38" s="656">
        <f t="shared" si="6"/>
        <v>0</v>
      </c>
      <c r="AA38" s="656">
        <f t="shared" si="6"/>
        <v>0</v>
      </c>
      <c r="AB38" s="946">
        <f t="shared" si="6"/>
        <v>0</v>
      </c>
      <c r="AC38" s="1108"/>
      <c r="AD38" s="1080" t="s">
        <v>215</v>
      </c>
      <c r="AE38" s="12">
        <f t="shared" si="18"/>
        <v>33</v>
      </c>
      <c r="AF38" s="949" t="s">
        <v>1158</v>
      </c>
      <c r="AG38" s="698">
        <f t="shared" ref="AG38:AG69" si="29">VLOOKUP($AF38,Results_bc,10,FALSE)</f>
        <v>0.2608695652173913</v>
      </c>
      <c r="AH38" s="698">
        <f t="shared" ref="AH38:AH69" si="30">VLOOKUP($AF38,Results_bc,11,FALSE)</f>
        <v>0.21739130434782608</v>
      </c>
      <c r="AI38" s="698">
        <f t="shared" ref="AI38:AI69" si="31">VLOOKUP($AF38,Results_bc,12,FALSE)</f>
        <v>8.6956521739130432E-2</v>
      </c>
      <c r="AJ38" s="698">
        <f t="shared" ref="AJ38:AJ69" si="32">VLOOKUP($AF38,Results_bc,13,FALSE)</f>
        <v>0</v>
      </c>
      <c r="AK38" s="710">
        <f t="shared" ref="AK38:AK69" si="33">1-(SUM(AG38:AJ38))</f>
        <v>0.43478260869565211</v>
      </c>
      <c r="AL38" s="891">
        <f t="shared" ref="AL38:AL69" si="34">IF(AG38="-"," ",AG38+AK38)</f>
        <v>0.69565217391304346</v>
      </c>
      <c r="AM38" s="698">
        <f t="shared" ref="AM38:AM69" si="35">IF(AH38="-"," ",AH38)</f>
        <v>0.21739130434782608</v>
      </c>
      <c r="AN38" s="698">
        <f t="shared" ref="AN38:AN69" si="36">IF(AI38="-"," ",AI38)</f>
        <v>8.6956521739130432E-2</v>
      </c>
      <c r="AO38" s="710">
        <f t="shared" ref="AO38:AO69" si="37">IF(AJ38="-"," ",AJ38)</f>
        <v>0</v>
      </c>
      <c r="AP38" s="885">
        <v>2</v>
      </c>
      <c r="AQ38" s="877">
        <v>0</v>
      </c>
      <c r="AR38" s="877">
        <v>0</v>
      </c>
      <c r="AS38" s="877">
        <f t="shared" si="20"/>
        <v>1</v>
      </c>
      <c r="AT38" s="886">
        <f t="shared" si="21"/>
        <v>0</v>
      </c>
      <c r="AU38" s="877">
        <f t="shared" si="28"/>
        <v>0.60521739130434782</v>
      </c>
      <c r="AV38" s="877">
        <f t="shared" si="28"/>
        <v>0.18913043478260869</v>
      </c>
      <c r="AW38" s="877">
        <f t="shared" si="28"/>
        <v>0.20565217391304347</v>
      </c>
      <c r="AX38" s="886">
        <f t="shared" si="28"/>
        <v>0</v>
      </c>
      <c r="AY38" s="1119"/>
    </row>
    <row r="39" spans="1:51" ht="15">
      <c r="A39" s="1110"/>
      <c r="B39" s="965" t="s">
        <v>1295</v>
      </c>
      <c r="C39" s="966"/>
      <c r="D39" s="967" t="s">
        <v>1291</v>
      </c>
      <c r="E39" s="970">
        <v>33</v>
      </c>
      <c r="F39" s="968">
        <v>2</v>
      </c>
      <c r="G39" s="965">
        <v>2.4</v>
      </c>
      <c r="H39" s="958">
        <v>1.4028617194443955</v>
      </c>
      <c r="I39" s="959">
        <v>0.6440000000000019</v>
      </c>
      <c r="J39" s="959">
        <v>22.228733333333356</v>
      </c>
      <c r="K39" s="959">
        <v>0</v>
      </c>
      <c r="L39" s="944">
        <v>0</v>
      </c>
      <c r="M39" s="934">
        <v>9.0747958425229243</v>
      </c>
      <c r="N39" s="934">
        <v>4.5870922042189397</v>
      </c>
      <c r="O39" s="934">
        <v>10.338111953258133</v>
      </c>
      <c r="P39" s="934">
        <v>0</v>
      </c>
      <c r="Q39" s="934">
        <v>0.55788039859392347</v>
      </c>
      <c r="R39" s="935">
        <f t="shared" si="0"/>
        <v>3.2265688432128536</v>
      </c>
      <c r="S39" s="898">
        <f t="shared" si="1"/>
        <v>8.5962843951466574</v>
      </c>
      <c r="T39" s="898">
        <f t="shared" si="2"/>
        <v>6.3778275430380456</v>
      </c>
      <c r="U39" s="898">
        <f t="shared" si="3"/>
        <v>2.9349765382066608</v>
      </c>
      <c r="V39" s="898">
        <f t="shared" si="4"/>
        <v>0.87497653820666088</v>
      </c>
      <c r="W39" s="945">
        <f t="shared" si="5"/>
        <v>2.4821311329758275</v>
      </c>
      <c r="X39" s="656">
        <f t="shared" si="6"/>
        <v>1</v>
      </c>
      <c r="Y39" s="656">
        <f t="shared" si="6"/>
        <v>1</v>
      </c>
      <c r="Z39" s="656">
        <f t="shared" si="6"/>
        <v>0</v>
      </c>
      <c r="AA39" s="656">
        <f t="shared" si="6"/>
        <v>0</v>
      </c>
      <c r="AB39" s="946">
        <f t="shared" si="6"/>
        <v>0</v>
      </c>
      <c r="AC39" s="1108"/>
      <c r="AD39" s="1079" t="s">
        <v>121</v>
      </c>
      <c r="AE39" s="938">
        <f t="shared" ref="AE39:AE70" si="38">AE38+1</f>
        <v>34</v>
      </c>
      <c r="AF39" s="947" t="s">
        <v>283</v>
      </c>
      <c r="AG39" s="708" t="str">
        <f t="shared" si="29"/>
        <v>-</v>
      </c>
      <c r="AH39" s="708" t="str">
        <f t="shared" si="30"/>
        <v>-</v>
      </c>
      <c r="AI39" s="708" t="str">
        <f t="shared" si="31"/>
        <v>-</v>
      </c>
      <c r="AJ39" s="708" t="str">
        <f t="shared" si="32"/>
        <v>-</v>
      </c>
      <c r="AK39" s="709">
        <f t="shared" si="33"/>
        <v>1</v>
      </c>
      <c r="AL39" s="941" t="str">
        <f t="shared" si="34"/>
        <v xml:space="preserve"> </v>
      </c>
      <c r="AM39" s="708" t="str">
        <f t="shared" si="35"/>
        <v xml:space="preserve"> </v>
      </c>
      <c r="AN39" s="708" t="str">
        <f t="shared" si="36"/>
        <v xml:space="preserve"> </v>
      </c>
      <c r="AO39" s="709" t="str">
        <f t="shared" si="37"/>
        <v xml:space="preserve"> </v>
      </c>
      <c r="AP39" s="892"/>
      <c r="AQ39" s="893"/>
      <c r="AR39" s="893"/>
      <c r="AS39" s="893" t="str">
        <f t="shared" si="20"/>
        <v xml:space="preserve"> </v>
      </c>
      <c r="AT39" s="894" t="str">
        <f t="shared" si="21"/>
        <v xml:space="preserve"> </v>
      </c>
      <c r="AU39" s="893"/>
      <c r="AV39" s="893"/>
      <c r="AW39" s="893"/>
      <c r="AX39" s="894"/>
      <c r="AY39" s="1119"/>
    </row>
    <row r="40" spans="1:51" ht="15">
      <c r="A40" s="1110"/>
      <c r="B40" s="965" t="s">
        <v>1296</v>
      </c>
      <c r="C40" s="966"/>
      <c r="D40" s="975" t="s">
        <v>1291</v>
      </c>
      <c r="E40" s="970">
        <v>33</v>
      </c>
      <c r="F40" s="968">
        <v>2</v>
      </c>
      <c r="G40" s="965">
        <v>2.4</v>
      </c>
      <c r="H40" s="958">
        <v>1.4028617194443955</v>
      </c>
      <c r="I40" s="959">
        <v>0.27370000000000072</v>
      </c>
      <c r="J40" s="959">
        <v>6.5730461666666713</v>
      </c>
      <c r="K40" s="959">
        <v>0.27360600000000002</v>
      </c>
      <c r="L40" s="944">
        <v>0</v>
      </c>
      <c r="M40" s="934">
        <v>9.0747958425229243</v>
      </c>
      <c r="N40" s="934">
        <v>4.5870922042189397</v>
      </c>
      <c r="O40" s="934">
        <v>10.338111953258133</v>
      </c>
      <c r="P40" s="934">
        <v>0</v>
      </c>
      <c r="Q40" s="934">
        <v>0.55788039859392347</v>
      </c>
      <c r="R40" s="935">
        <f t="shared" si="0"/>
        <v>1.0798770899269043</v>
      </c>
      <c r="S40" s="898">
        <f t="shared" si="1"/>
        <v>8.5962843951466574</v>
      </c>
      <c r="T40" s="898">
        <f t="shared" si="2"/>
        <v>6.3778275430380456</v>
      </c>
      <c r="U40" s="898">
        <f t="shared" si="3"/>
        <v>2.9349765382066608</v>
      </c>
      <c r="V40" s="898">
        <f t="shared" si="4"/>
        <v>0.87497653820666088</v>
      </c>
      <c r="W40" s="945">
        <f t="shared" si="5"/>
        <v>2.4821311329758275</v>
      </c>
      <c r="X40" s="656">
        <f t="shared" si="6"/>
        <v>1</v>
      </c>
      <c r="Y40" s="656">
        <f t="shared" si="6"/>
        <v>1</v>
      </c>
      <c r="Z40" s="656">
        <f t="shared" si="6"/>
        <v>1</v>
      </c>
      <c r="AA40" s="656">
        <f t="shared" si="6"/>
        <v>0</v>
      </c>
      <c r="AB40" s="946">
        <f t="shared" si="6"/>
        <v>1</v>
      </c>
      <c r="AC40" s="1108"/>
      <c r="AD40" s="1080" t="s">
        <v>122</v>
      </c>
      <c r="AE40" s="12">
        <f t="shared" si="38"/>
        <v>35</v>
      </c>
      <c r="AF40" s="949" t="s">
        <v>236</v>
      </c>
      <c r="AG40" s="698">
        <f t="shared" si="29"/>
        <v>0.13235294117647059</v>
      </c>
      <c r="AH40" s="698">
        <f t="shared" si="30"/>
        <v>0.23529411764705882</v>
      </c>
      <c r="AI40" s="698">
        <f t="shared" si="31"/>
        <v>0.33823529411764708</v>
      </c>
      <c r="AJ40" s="698">
        <f t="shared" si="32"/>
        <v>7.3529411764705885E-2</v>
      </c>
      <c r="AK40" s="710">
        <f t="shared" si="33"/>
        <v>0.22058823529411764</v>
      </c>
      <c r="AL40" s="891">
        <f t="shared" si="34"/>
        <v>0.3529411764705882</v>
      </c>
      <c r="AM40" s="698">
        <f t="shared" si="35"/>
        <v>0.23529411764705882</v>
      </c>
      <c r="AN40" s="698">
        <f t="shared" si="36"/>
        <v>0.33823529411764708</v>
      </c>
      <c r="AO40" s="710">
        <f t="shared" si="37"/>
        <v>7.3529411764705885E-2</v>
      </c>
      <c r="AP40" s="885">
        <v>2</v>
      </c>
      <c r="AQ40" s="877">
        <v>0</v>
      </c>
      <c r="AR40" s="877">
        <v>0</v>
      </c>
      <c r="AS40" s="877">
        <f t="shared" si="20"/>
        <v>0.92647058823529416</v>
      </c>
      <c r="AT40" s="886">
        <f t="shared" si="21"/>
        <v>7.3529411764705885E-2</v>
      </c>
      <c r="AU40" s="877">
        <f>(AL40*(1-$AU$3))+(AQ40*$AU$3)</f>
        <v>0.30705882352941172</v>
      </c>
      <c r="AV40" s="877">
        <f>(AM40*(1-$AU$3))+(AR40*$AU$3)</f>
        <v>0.20470588235294118</v>
      </c>
      <c r="AW40" s="877">
        <f>(AN40*(1-$AU$3))+(AS40*$AU$3)</f>
        <v>0.41470588235294126</v>
      </c>
      <c r="AX40" s="886">
        <f>(AO40*(1-$AU$3))+(AT40*$AU$3)</f>
        <v>7.3529411764705899E-2</v>
      </c>
      <c r="AY40" s="1119"/>
    </row>
    <row r="41" spans="1:51" ht="15">
      <c r="A41" s="1110"/>
      <c r="B41" s="965" t="s">
        <v>1297</v>
      </c>
      <c r="C41" s="966"/>
      <c r="D41" s="928" t="s">
        <v>124</v>
      </c>
      <c r="E41" s="928">
        <v>50</v>
      </c>
      <c r="F41" s="968">
        <v>2</v>
      </c>
      <c r="G41" s="965">
        <v>3.7</v>
      </c>
      <c r="H41" s="958">
        <v>2.7711238333332675</v>
      </c>
      <c r="I41" s="959">
        <v>0.12400000000000011</v>
      </c>
      <c r="J41" s="959">
        <v>8.7750000000000021</v>
      </c>
      <c r="K41" s="959">
        <v>5.6000000000000001E-2</v>
      </c>
      <c r="L41" s="944">
        <v>0</v>
      </c>
      <c r="M41" s="934">
        <v>9.0747958425229243</v>
      </c>
      <c r="N41" s="934">
        <v>4.5870922042189397</v>
      </c>
      <c r="O41" s="934">
        <v>10.338111953258133</v>
      </c>
      <c r="P41" s="934">
        <v>0</v>
      </c>
      <c r="Q41" s="934">
        <v>0.55788039859392347</v>
      </c>
      <c r="R41" s="935">
        <f t="shared" si="0"/>
        <v>1.1210407828916964</v>
      </c>
      <c r="S41" s="898">
        <f t="shared" si="1"/>
        <v>8.8852613535999865</v>
      </c>
      <c r="T41" s="898">
        <f t="shared" si="2"/>
        <v>6.6683095898166531</v>
      </c>
      <c r="U41" s="898">
        <f t="shared" si="3"/>
        <v>3.0958841627999925</v>
      </c>
      <c r="V41" s="898">
        <f t="shared" si="4"/>
        <v>1.0358841627999922</v>
      </c>
      <c r="W41" s="945">
        <f t="shared" si="5"/>
        <v>2.6500168943499922</v>
      </c>
      <c r="X41" s="656">
        <f t="shared" si="6"/>
        <v>1</v>
      </c>
      <c r="Y41" s="656">
        <f t="shared" si="6"/>
        <v>1</v>
      </c>
      <c r="Z41" s="656">
        <f t="shared" si="6"/>
        <v>1</v>
      </c>
      <c r="AA41" s="656">
        <f t="shared" si="6"/>
        <v>0</v>
      </c>
      <c r="AB41" s="946">
        <f t="shared" si="6"/>
        <v>1</v>
      </c>
      <c r="AC41" s="1108"/>
      <c r="AD41" s="1079" t="s">
        <v>131</v>
      </c>
      <c r="AE41" s="938">
        <f t="shared" si="38"/>
        <v>36</v>
      </c>
      <c r="AF41" s="947" t="s">
        <v>283</v>
      </c>
      <c r="AG41" s="708" t="str">
        <f t="shared" si="29"/>
        <v>-</v>
      </c>
      <c r="AH41" s="708" t="str">
        <f t="shared" si="30"/>
        <v>-</v>
      </c>
      <c r="AI41" s="708" t="str">
        <f t="shared" si="31"/>
        <v>-</v>
      </c>
      <c r="AJ41" s="708" t="str">
        <f t="shared" si="32"/>
        <v>-</v>
      </c>
      <c r="AK41" s="709">
        <f t="shared" si="33"/>
        <v>1</v>
      </c>
      <c r="AL41" s="941" t="str">
        <f t="shared" si="34"/>
        <v xml:space="preserve"> </v>
      </c>
      <c r="AM41" s="708" t="str">
        <f t="shared" si="35"/>
        <v xml:space="preserve"> </v>
      </c>
      <c r="AN41" s="708" t="str">
        <f t="shared" si="36"/>
        <v xml:space="preserve"> </v>
      </c>
      <c r="AO41" s="709" t="str">
        <f t="shared" si="37"/>
        <v xml:space="preserve"> </v>
      </c>
      <c r="AP41" s="1131" t="s">
        <v>283</v>
      </c>
      <c r="AQ41" s="883"/>
      <c r="AR41" s="883"/>
      <c r="AS41" s="883" t="str">
        <f t="shared" si="20"/>
        <v xml:space="preserve"> </v>
      </c>
      <c r="AT41" s="884" t="str">
        <f t="shared" si="21"/>
        <v xml:space="preserve"> </v>
      </c>
      <c r="AU41" s="883"/>
      <c r="AV41" s="883"/>
      <c r="AW41" s="883"/>
      <c r="AX41" s="884"/>
      <c r="AY41" s="1119"/>
    </row>
    <row r="42" spans="1:51" ht="15">
      <c r="A42" s="1110"/>
      <c r="B42" s="963" t="s">
        <v>1298</v>
      </c>
      <c r="C42" s="927"/>
      <c r="D42" s="928" t="s">
        <v>124</v>
      </c>
      <c r="E42" s="928">
        <v>50</v>
      </c>
      <c r="F42" s="929">
        <v>2</v>
      </c>
      <c r="G42" s="930">
        <v>3.7</v>
      </c>
      <c r="H42" s="958">
        <v>3.5882692750001253</v>
      </c>
      <c r="I42" s="959">
        <v>9.4100000000000072E-2</v>
      </c>
      <c r="J42" s="959">
        <v>7.7750933333333352</v>
      </c>
      <c r="K42" s="959">
        <v>0.03</v>
      </c>
      <c r="L42" s="944">
        <v>0</v>
      </c>
      <c r="M42" s="934">
        <v>9.0747958425229243</v>
      </c>
      <c r="N42" s="934">
        <v>4.5870922042189397</v>
      </c>
      <c r="O42" s="934">
        <v>10.338111953258133</v>
      </c>
      <c r="P42" s="934">
        <v>0</v>
      </c>
      <c r="Q42" s="934">
        <v>0.55788039859392347</v>
      </c>
      <c r="R42" s="935">
        <f t="shared" si="0"/>
        <v>0.75459407858859151</v>
      </c>
      <c r="S42" s="898">
        <f t="shared" si="1"/>
        <v>9.0578424708800274</v>
      </c>
      <c r="T42" s="898">
        <f t="shared" si="2"/>
        <v>6.8417895670825271</v>
      </c>
      <c r="U42" s="898">
        <f t="shared" si="3"/>
        <v>3.1919804667400147</v>
      </c>
      <c r="V42" s="898">
        <f t="shared" si="4"/>
        <v>1.1319804667400146</v>
      </c>
      <c r="W42" s="945">
        <f t="shared" si="5"/>
        <v>2.7502806400425155</v>
      </c>
      <c r="X42" s="656">
        <f t="shared" si="6"/>
        <v>1</v>
      </c>
      <c r="Y42" s="656">
        <f t="shared" si="6"/>
        <v>1</v>
      </c>
      <c r="Z42" s="656">
        <f t="shared" si="6"/>
        <v>1</v>
      </c>
      <c r="AA42" s="656">
        <f t="shared" si="6"/>
        <v>1</v>
      </c>
      <c r="AB42" s="946">
        <f t="shared" si="6"/>
        <v>1</v>
      </c>
      <c r="AC42" s="1108"/>
      <c r="AD42" s="1080" t="s">
        <v>133</v>
      </c>
      <c r="AE42" s="12">
        <f t="shared" si="38"/>
        <v>37</v>
      </c>
      <c r="AF42" s="949" t="s">
        <v>203</v>
      </c>
      <c r="AG42" s="698">
        <f t="shared" si="29"/>
        <v>6.0606060606060608E-2</v>
      </c>
      <c r="AH42" s="698">
        <f t="shared" si="30"/>
        <v>0.69696969696969702</v>
      </c>
      <c r="AI42" s="698">
        <f t="shared" si="31"/>
        <v>9.0909090909090912E-2</v>
      </c>
      <c r="AJ42" s="698">
        <f t="shared" si="32"/>
        <v>0</v>
      </c>
      <c r="AK42" s="710">
        <f t="shared" si="33"/>
        <v>0.15151515151515149</v>
      </c>
      <c r="AL42" s="891">
        <f t="shared" si="34"/>
        <v>0.2121212121212121</v>
      </c>
      <c r="AM42" s="698">
        <f t="shared" si="35"/>
        <v>0.69696969696969702</v>
      </c>
      <c r="AN42" s="698">
        <f t="shared" si="36"/>
        <v>9.0909090909090912E-2</v>
      </c>
      <c r="AO42" s="710">
        <f t="shared" si="37"/>
        <v>0</v>
      </c>
      <c r="AP42" s="885">
        <v>2</v>
      </c>
      <c r="AQ42" s="877">
        <v>0</v>
      </c>
      <c r="AR42" s="877">
        <v>0</v>
      </c>
      <c r="AS42" s="877">
        <f t="shared" si="20"/>
        <v>1</v>
      </c>
      <c r="AT42" s="886">
        <f t="shared" si="21"/>
        <v>0</v>
      </c>
      <c r="AU42" s="877">
        <f t="shared" ref="AU42:AX48" si="39">(AL42*(1-$AU$3))+(AQ42*$AU$3)</f>
        <v>0.18454545454545451</v>
      </c>
      <c r="AV42" s="877">
        <f t="shared" si="39"/>
        <v>0.60636363636363644</v>
      </c>
      <c r="AW42" s="877">
        <f t="shared" si="39"/>
        <v>0.20909090909090911</v>
      </c>
      <c r="AX42" s="886">
        <f t="shared" si="39"/>
        <v>0</v>
      </c>
      <c r="AY42" s="1119"/>
    </row>
    <row r="43" spans="1:51" ht="15">
      <c r="A43" s="1109"/>
      <c r="B43" s="963" t="s">
        <v>1299</v>
      </c>
      <c r="C43" s="927"/>
      <c r="D43" s="928" t="s">
        <v>124</v>
      </c>
      <c r="E43" s="928">
        <v>50</v>
      </c>
      <c r="F43" s="929">
        <v>2</v>
      </c>
      <c r="G43" s="930">
        <v>3.7</v>
      </c>
      <c r="H43" s="958">
        <v>2.7718169833334803</v>
      </c>
      <c r="I43" s="959">
        <v>0.10956666666666681</v>
      </c>
      <c r="J43" s="959">
        <v>7.5191666666666697</v>
      </c>
      <c r="K43" s="959">
        <v>0.11</v>
      </c>
      <c r="L43" s="944">
        <v>0</v>
      </c>
      <c r="M43" s="934">
        <v>9.0747958425229243</v>
      </c>
      <c r="N43" s="934">
        <v>4.5870922042189397</v>
      </c>
      <c r="O43" s="934">
        <v>10.338111953258133</v>
      </c>
      <c r="P43" s="934">
        <v>0</v>
      </c>
      <c r="Q43" s="934">
        <v>0.55788039859392347</v>
      </c>
      <c r="R43" s="935">
        <f t="shared" si="0"/>
        <v>0.97831910354052043</v>
      </c>
      <c r="S43" s="898">
        <f t="shared" si="1"/>
        <v>8.8854077468800323</v>
      </c>
      <c r="T43" s="898">
        <f t="shared" si="2"/>
        <v>6.6684567455616977</v>
      </c>
      <c r="U43" s="898">
        <f t="shared" si="3"/>
        <v>3.0959656772400175</v>
      </c>
      <c r="V43" s="898">
        <f t="shared" si="4"/>
        <v>1.0359656772400172</v>
      </c>
      <c r="W43" s="945">
        <f t="shared" si="5"/>
        <v>2.650101943855018</v>
      </c>
      <c r="X43" s="656">
        <f t="shared" si="6"/>
        <v>1</v>
      </c>
      <c r="Y43" s="656">
        <f t="shared" si="6"/>
        <v>1</v>
      </c>
      <c r="Z43" s="656">
        <f t="shared" si="6"/>
        <v>1</v>
      </c>
      <c r="AA43" s="656">
        <f t="shared" si="6"/>
        <v>1</v>
      </c>
      <c r="AB43" s="946">
        <f t="shared" si="6"/>
        <v>1</v>
      </c>
      <c r="AC43" s="1108"/>
      <c r="AD43" s="1080" t="s">
        <v>226</v>
      </c>
      <c r="AE43" s="12">
        <f t="shared" si="38"/>
        <v>38</v>
      </c>
      <c r="AF43" s="949" t="s">
        <v>236</v>
      </c>
      <c r="AG43" s="698">
        <f t="shared" si="29"/>
        <v>0.13235294117647059</v>
      </c>
      <c r="AH43" s="698">
        <f t="shared" si="30"/>
        <v>0.23529411764705882</v>
      </c>
      <c r="AI43" s="698">
        <f t="shared" si="31"/>
        <v>0.33823529411764708</v>
      </c>
      <c r="AJ43" s="698">
        <f t="shared" si="32"/>
        <v>7.3529411764705885E-2</v>
      </c>
      <c r="AK43" s="710">
        <f t="shared" si="33"/>
        <v>0.22058823529411764</v>
      </c>
      <c r="AL43" s="891">
        <f t="shared" si="34"/>
        <v>0.3529411764705882</v>
      </c>
      <c r="AM43" s="698">
        <f t="shared" si="35"/>
        <v>0.23529411764705882</v>
      </c>
      <c r="AN43" s="698">
        <f t="shared" si="36"/>
        <v>0.33823529411764708</v>
      </c>
      <c r="AO43" s="710">
        <f t="shared" si="37"/>
        <v>7.3529411764705885E-2</v>
      </c>
      <c r="AP43" s="885">
        <v>2</v>
      </c>
      <c r="AQ43" s="877">
        <v>0</v>
      </c>
      <c r="AR43" s="877">
        <v>0</v>
      </c>
      <c r="AS43" s="877">
        <f t="shared" si="20"/>
        <v>0.92647058823529416</v>
      </c>
      <c r="AT43" s="886">
        <f t="shared" si="21"/>
        <v>7.3529411764705885E-2</v>
      </c>
      <c r="AU43" s="877">
        <f t="shared" si="39"/>
        <v>0.30705882352941172</v>
      </c>
      <c r="AV43" s="877">
        <f t="shared" si="39"/>
        <v>0.20470588235294118</v>
      </c>
      <c r="AW43" s="877">
        <f t="shared" si="39"/>
        <v>0.41470588235294126</v>
      </c>
      <c r="AX43" s="886">
        <f t="shared" si="39"/>
        <v>7.3529411764705899E-2</v>
      </c>
      <c r="AY43" s="1119"/>
    </row>
    <row r="44" spans="1:51" ht="15">
      <c r="A44" s="1109"/>
      <c r="B44" s="957">
        <v>1052</v>
      </c>
      <c r="C44" s="927"/>
      <c r="D44" s="928" t="s">
        <v>1300</v>
      </c>
      <c r="E44" s="928">
        <v>65</v>
      </c>
      <c r="F44" s="929">
        <v>2</v>
      </c>
      <c r="G44" s="930">
        <v>2.4</v>
      </c>
      <c r="H44" s="958">
        <v>1.9923022225957905</v>
      </c>
      <c r="I44" s="959">
        <v>0.62332500000001978</v>
      </c>
      <c r="J44" s="959">
        <v>15.232966666665622</v>
      </c>
      <c r="K44" s="959">
        <v>0.32</v>
      </c>
      <c r="L44" s="944">
        <v>0</v>
      </c>
      <c r="M44" s="934">
        <v>9.0747958425229243</v>
      </c>
      <c r="N44" s="934">
        <v>4.5870922042189397</v>
      </c>
      <c r="O44" s="934">
        <v>10.338111953258133</v>
      </c>
      <c r="P44" s="934">
        <v>0</v>
      </c>
      <c r="Q44" s="934">
        <v>0.55788039859392347</v>
      </c>
      <c r="R44" s="935">
        <f t="shared" si="0"/>
        <v>2.2503507770696132</v>
      </c>
      <c r="S44" s="898">
        <f t="shared" si="1"/>
        <v>8.7207742294122319</v>
      </c>
      <c r="T44" s="898">
        <f t="shared" si="2"/>
        <v>6.5029657618570864</v>
      </c>
      <c r="U44" s="898">
        <f t="shared" si="3"/>
        <v>3.0042947413772652</v>
      </c>
      <c r="V44" s="898">
        <f t="shared" si="4"/>
        <v>0.94429474137726488</v>
      </c>
      <c r="W44" s="945">
        <f t="shared" si="5"/>
        <v>2.5544554827125037</v>
      </c>
      <c r="X44" s="656">
        <f t="shared" si="6"/>
        <v>1</v>
      </c>
      <c r="Y44" s="656">
        <f t="shared" si="6"/>
        <v>1</v>
      </c>
      <c r="Z44" s="656">
        <f t="shared" si="6"/>
        <v>1</v>
      </c>
      <c r="AA44" s="656">
        <f t="shared" si="6"/>
        <v>0</v>
      </c>
      <c r="AB44" s="946">
        <f t="shared" si="6"/>
        <v>1</v>
      </c>
      <c r="AC44" s="1108"/>
      <c r="AD44" s="1080" t="s">
        <v>197</v>
      </c>
      <c r="AE44" s="12">
        <f t="shared" si="38"/>
        <v>39</v>
      </c>
      <c r="AF44" s="949" t="s">
        <v>236</v>
      </c>
      <c r="AG44" s="698">
        <f t="shared" si="29"/>
        <v>0.13235294117647059</v>
      </c>
      <c r="AH44" s="698">
        <f t="shared" si="30"/>
        <v>0.23529411764705882</v>
      </c>
      <c r="AI44" s="698">
        <f t="shared" si="31"/>
        <v>0.33823529411764708</v>
      </c>
      <c r="AJ44" s="698">
        <f t="shared" si="32"/>
        <v>7.3529411764705885E-2</v>
      </c>
      <c r="AK44" s="710">
        <f t="shared" si="33"/>
        <v>0.22058823529411764</v>
      </c>
      <c r="AL44" s="891">
        <f t="shared" si="34"/>
        <v>0.3529411764705882</v>
      </c>
      <c r="AM44" s="698">
        <f t="shared" si="35"/>
        <v>0.23529411764705882</v>
      </c>
      <c r="AN44" s="698">
        <f t="shared" si="36"/>
        <v>0.33823529411764708</v>
      </c>
      <c r="AO44" s="710">
        <f t="shared" si="37"/>
        <v>7.3529411764705885E-2</v>
      </c>
      <c r="AP44" s="885">
        <v>2</v>
      </c>
      <c r="AQ44" s="877">
        <v>0</v>
      </c>
      <c r="AR44" s="877">
        <v>0</v>
      </c>
      <c r="AS44" s="877">
        <f t="shared" si="20"/>
        <v>0.92647058823529416</v>
      </c>
      <c r="AT44" s="886">
        <f t="shared" si="21"/>
        <v>7.3529411764705885E-2</v>
      </c>
      <c r="AU44" s="877">
        <f t="shared" si="39"/>
        <v>0.30705882352941172</v>
      </c>
      <c r="AV44" s="877">
        <f t="shared" si="39"/>
        <v>0.20470588235294118</v>
      </c>
      <c r="AW44" s="877">
        <f t="shared" si="39"/>
        <v>0.41470588235294126</v>
      </c>
      <c r="AX44" s="886">
        <f t="shared" si="39"/>
        <v>7.3529411764705899E-2</v>
      </c>
      <c r="AY44" s="1119"/>
    </row>
    <row r="45" spans="1:51" ht="15">
      <c r="A45" s="1108"/>
      <c r="B45" s="957">
        <v>1053</v>
      </c>
      <c r="C45" s="927"/>
      <c r="D45" s="928" t="s">
        <v>1300</v>
      </c>
      <c r="E45" s="928">
        <v>65</v>
      </c>
      <c r="F45" s="929">
        <v>2</v>
      </c>
      <c r="G45" s="930">
        <v>3.6</v>
      </c>
      <c r="H45" s="958">
        <v>1.4182582520053624</v>
      </c>
      <c r="I45" s="959">
        <v>6.0179166666668185E-2</v>
      </c>
      <c r="J45" s="959">
        <v>5.2879666666660725</v>
      </c>
      <c r="K45" s="959">
        <v>5.6666666666666664E-2</v>
      </c>
      <c r="L45" s="944">
        <v>0</v>
      </c>
      <c r="M45" s="934">
        <v>9.0747958425229243</v>
      </c>
      <c r="N45" s="934">
        <v>4.5870922042189397</v>
      </c>
      <c r="O45" s="934">
        <v>10.338111953258133</v>
      </c>
      <c r="P45" s="934">
        <v>0</v>
      </c>
      <c r="Q45" s="934">
        <v>0.55788039859392347</v>
      </c>
      <c r="R45" s="935">
        <f t="shared" si="0"/>
        <v>0.78808489166854656</v>
      </c>
      <c r="S45" s="898">
        <f t="shared" si="1"/>
        <v>8.5995361428235331</v>
      </c>
      <c r="T45" s="898">
        <f t="shared" si="2"/>
        <v>6.3810962269007385</v>
      </c>
      <c r="U45" s="898">
        <f t="shared" si="3"/>
        <v>2.9367871704358306</v>
      </c>
      <c r="V45" s="898">
        <f t="shared" si="4"/>
        <v>0.87678717043583054</v>
      </c>
      <c r="W45" s="945">
        <f t="shared" si="5"/>
        <v>2.4840202875210582</v>
      </c>
      <c r="X45" s="656">
        <f t="shared" si="6"/>
        <v>1</v>
      </c>
      <c r="Y45" s="656">
        <f t="shared" si="6"/>
        <v>1</v>
      </c>
      <c r="Z45" s="656">
        <f t="shared" si="6"/>
        <v>1</v>
      </c>
      <c r="AA45" s="656">
        <f t="shared" si="6"/>
        <v>1</v>
      </c>
      <c r="AB45" s="946">
        <f t="shared" si="6"/>
        <v>1</v>
      </c>
      <c r="AC45" s="1108"/>
      <c r="AD45" s="1080" t="s">
        <v>126</v>
      </c>
      <c r="AE45" s="12">
        <f t="shared" si="38"/>
        <v>40</v>
      </c>
      <c r="AF45" s="949" t="s">
        <v>126</v>
      </c>
      <c r="AG45" s="698">
        <f t="shared" si="29"/>
        <v>0.16666666666666666</v>
      </c>
      <c r="AH45" s="698">
        <f t="shared" si="30"/>
        <v>0.66666666666666663</v>
      </c>
      <c r="AI45" s="698">
        <f t="shared" si="31"/>
        <v>0.16666666666666666</v>
      </c>
      <c r="AJ45" s="698">
        <f t="shared" si="32"/>
        <v>0</v>
      </c>
      <c r="AK45" s="710">
        <f t="shared" si="33"/>
        <v>0</v>
      </c>
      <c r="AL45" s="891">
        <f t="shared" si="34"/>
        <v>0.16666666666666666</v>
      </c>
      <c r="AM45" s="698">
        <f t="shared" si="35"/>
        <v>0.66666666666666663</v>
      </c>
      <c r="AN45" s="698">
        <f t="shared" si="36"/>
        <v>0.16666666666666666</v>
      </c>
      <c r="AO45" s="710">
        <f t="shared" si="37"/>
        <v>0</v>
      </c>
      <c r="AP45" s="885">
        <v>2</v>
      </c>
      <c r="AQ45" s="877">
        <v>0</v>
      </c>
      <c r="AR45" s="877">
        <v>0</v>
      </c>
      <c r="AS45" s="877">
        <f t="shared" si="20"/>
        <v>1</v>
      </c>
      <c r="AT45" s="886">
        <f t="shared" si="21"/>
        <v>0</v>
      </c>
      <c r="AU45" s="877">
        <f t="shared" si="39"/>
        <v>0.14499999999999999</v>
      </c>
      <c r="AV45" s="877">
        <f t="shared" si="39"/>
        <v>0.57999999999999996</v>
      </c>
      <c r="AW45" s="877">
        <f t="shared" si="39"/>
        <v>0.27500000000000002</v>
      </c>
      <c r="AX45" s="886">
        <f t="shared" si="39"/>
        <v>0</v>
      </c>
      <c r="AY45" s="1119"/>
    </row>
    <row r="46" spans="1:51" ht="15">
      <c r="A46" s="1108"/>
      <c r="B46" s="957">
        <v>1054</v>
      </c>
      <c r="C46" s="927"/>
      <c r="D46" s="928" t="s">
        <v>1300</v>
      </c>
      <c r="E46" s="928">
        <v>65</v>
      </c>
      <c r="F46" s="929">
        <v>2</v>
      </c>
      <c r="G46" s="930">
        <v>1.2</v>
      </c>
      <c r="H46" s="958">
        <v>1.1550313781542407</v>
      </c>
      <c r="I46" s="959">
        <v>0.72015416666668952</v>
      </c>
      <c r="J46" s="959">
        <v>17.414999999996354</v>
      </c>
      <c r="K46" s="959">
        <v>8.666666666666667E-2</v>
      </c>
      <c r="L46" s="944">
        <v>0</v>
      </c>
      <c r="M46" s="934">
        <v>9.0747958425229243</v>
      </c>
      <c r="N46" s="934">
        <v>4.5870922042189397</v>
      </c>
      <c r="O46" s="934">
        <v>10.338111953258133</v>
      </c>
      <c r="P46" s="934">
        <v>0</v>
      </c>
      <c r="Q46" s="934">
        <v>0.55788039859392347</v>
      </c>
      <c r="R46" s="935">
        <f t="shared" si="0"/>
        <v>2.3220133311717319</v>
      </c>
      <c r="S46" s="898">
        <f t="shared" si="1"/>
        <v>8.5439426270661762</v>
      </c>
      <c r="T46" s="898">
        <f t="shared" si="2"/>
        <v>6.3252131615821456</v>
      </c>
      <c r="U46" s="898">
        <f t="shared" si="3"/>
        <v>2.9058316900709387</v>
      </c>
      <c r="V46" s="898">
        <f t="shared" si="4"/>
        <v>0.84583169007093861</v>
      </c>
      <c r="W46" s="945">
        <f t="shared" si="5"/>
        <v>2.4517223500995255</v>
      </c>
      <c r="X46" s="656">
        <f t="shared" si="6"/>
        <v>1</v>
      </c>
      <c r="Y46" s="656">
        <f t="shared" si="6"/>
        <v>1</v>
      </c>
      <c r="Z46" s="656">
        <f t="shared" si="6"/>
        <v>1</v>
      </c>
      <c r="AA46" s="656">
        <f t="shared" si="6"/>
        <v>0</v>
      </c>
      <c r="AB46" s="946">
        <f t="shared" si="6"/>
        <v>1</v>
      </c>
      <c r="AC46" s="1108"/>
      <c r="AD46" s="1080" t="s">
        <v>127</v>
      </c>
      <c r="AE46" s="12">
        <f t="shared" si="38"/>
        <v>41</v>
      </c>
      <c r="AF46" s="949" t="s">
        <v>204</v>
      </c>
      <c r="AG46" s="698">
        <f t="shared" si="29"/>
        <v>0.22448979591836735</v>
      </c>
      <c r="AH46" s="698">
        <f t="shared" si="30"/>
        <v>0.53061224489795922</v>
      </c>
      <c r="AI46" s="698">
        <f t="shared" si="31"/>
        <v>0.22448979591836735</v>
      </c>
      <c r="AJ46" s="698">
        <f t="shared" si="32"/>
        <v>0</v>
      </c>
      <c r="AK46" s="710">
        <f t="shared" si="33"/>
        <v>2.0408163265306034E-2</v>
      </c>
      <c r="AL46" s="891">
        <f t="shared" si="34"/>
        <v>0.24489795918367338</v>
      </c>
      <c r="AM46" s="698">
        <f t="shared" si="35"/>
        <v>0.53061224489795922</v>
      </c>
      <c r="AN46" s="698">
        <f t="shared" si="36"/>
        <v>0.22448979591836735</v>
      </c>
      <c r="AO46" s="710">
        <f t="shared" si="37"/>
        <v>0</v>
      </c>
      <c r="AP46" s="885">
        <v>2</v>
      </c>
      <c r="AQ46" s="877">
        <v>0</v>
      </c>
      <c r="AR46" s="877">
        <v>0</v>
      </c>
      <c r="AS46" s="877">
        <f t="shared" si="20"/>
        <v>1</v>
      </c>
      <c r="AT46" s="886">
        <f t="shared" si="21"/>
        <v>0</v>
      </c>
      <c r="AU46" s="877">
        <f t="shared" si="39"/>
        <v>0.21306122448979584</v>
      </c>
      <c r="AV46" s="877">
        <f t="shared" si="39"/>
        <v>0.46163265306122453</v>
      </c>
      <c r="AW46" s="877">
        <f t="shared" si="39"/>
        <v>0.32530612244897961</v>
      </c>
      <c r="AX46" s="886">
        <f t="shared" si="39"/>
        <v>0</v>
      </c>
      <c r="AY46" s="1119"/>
    </row>
    <row r="47" spans="1:51" ht="15">
      <c r="A47" s="1110"/>
      <c r="B47" s="957">
        <v>1055</v>
      </c>
      <c r="C47" s="927"/>
      <c r="D47" s="928" t="s">
        <v>1300</v>
      </c>
      <c r="E47" s="928">
        <v>65</v>
      </c>
      <c r="F47" s="929">
        <v>2</v>
      </c>
      <c r="G47" s="930">
        <v>2.4</v>
      </c>
      <c r="H47" s="958">
        <v>2.0387626310350053</v>
      </c>
      <c r="I47" s="959">
        <v>0.33475833333333732</v>
      </c>
      <c r="J47" s="959">
        <v>10.391</v>
      </c>
      <c r="K47" s="959">
        <v>0.17333333333333334</v>
      </c>
      <c r="L47" s="944">
        <v>0</v>
      </c>
      <c r="M47" s="934">
        <v>9.0747958425229243</v>
      </c>
      <c r="N47" s="934">
        <v>4.5870922042189397</v>
      </c>
      <c r="O47" s="934">
        <v>10.338111953258133</v>
      </c>
      <c r="P47" s="934">
        <v>0</v>
      </c>
      <c r="Q47" s="934">
        <v>0.55788039859392347</v>
      </c>
      <c r="R47" s="935">
        <f t="shared" si="0"/>
        <v>1.4637910096520332</v>
      </c>
      <c r="S47" s="898">
        <f t="shared" si="1"/>
        <v>8.7305866676745936</v>
      </c>
      <c r="T47" s="898">
        <f t="shared" si="2"/>
        <v>6.5128293065687313</v>
      </c>
      <c r="U47" s="898">
        <f t="shared" si="3"/>
        <v>3.0097584854097166</v>
      </c>
      <c r="V47" s="898">
        <f t="shared" si="4"/>
        <v>0.94975848540971652</v>
      </c>
      <c r="W47" s="945">
        <f t="shared" si="5"/>
        <v>2.5601561748279953</v>
      </c>
      <c r="X47" s="656">
        <f t="shared" si="6"/>
        <v>1</v>
      </c>
      <c r="Y47" s="656">
        <f t="shared" si="6"/>
        <v>1</v>
      </c>
      <c r="Z47" s="656">
        <f t="shared" si="6"/>
        <v>1</v>
      </c>
      <c r="AA47" s="656">
        <f t="shared" si="6"/>
        <v>0</v>
      </c>
      <c r="AB47" s="946">
        <f t="shared" si="6"/>
        <v>1</v>
      </c>
      <c r="AC47" s="1108"/>
      <c r="AD47" s="1080" t="s">
        <v>128</v>
      </c>
      <c r="AE47" s="12">
        <f t="shared" si="38"/>
        <v>42</v>
      </c>
      <c r="AF47" s="949" t="s">
        <v>204</v>
      </c>
      <c r="AG47" s="698">
        <f t="shared" si="29"/>
        <v>0.22448979591836735</v>
      </c>
      <c r="AH47" s="698">
        <f t="shared" si="30"/>
        <v>0.53061224489795922</v>
      </c>
      <c r="AI47" s="698">
        <f t="shared" si="31"/>
        <v>0.22448979591836735</v>
      </c>
      <c r="AJ47" s="698">
        <f t="shared" si="32"/>
        <v>0</v>
      </c>
      <c r="AK47" s="710">
        <f t="shared" si="33"/>
        <v>2.0408163265306034E-2</v>
      </c>
      <c r="AL47" s="891">
        <f t="shared" si="34"/>
        <v>0.24489795918367338</v>
      </c>
      <c r="AM47" s="698">
        <f t="shared" si="35"/>
        <v>0.53061224489795922</v>
      </c>
      <c r="AN47" s="698">
        <f t="shared" si="36"/>
        <v>0.22448979591836735</v>
      </c>
      <c r="AO47" s="710">
        <f t="shared" si="37"/>
        <v>0</v>
      </c>
      <c r="AP47" s="885">
        <v>2</v>
      </c>
      <c r="AQ47" s="877">
        <v>0</v>
      </c>
      <c r="AR47" s="877">
        <v>0</v>
      </c>
      <c r="AS47" s="877">
        <f t="shared" si="20"/>
        <v>1</v>
      </c>
      <c r="AT47" s="886">
        <f t="shared" si="21"/>
        <v>0</v>
      </c>
      <c r="AU47" s="877">
        <f t="shared" si="39"/>
        <v>0.21306122448979584</v>
      </c>
      <c r="AV47" s="877">
        <f t="shared" si="39"/>
        <v>0.46163265306122453</v>
      </c>
      <c r="AW47" s="877">
        <f t="shared" si="39"/>
        <v>0.32530612244897961</v>
      </c>
      <c r="AX47" s="886">
        <f t="shared" si="39"/>
        <v>0</v>
      </c>
      <c r="AY47" s="1119"/>
    </row>
    <row r="48" spans="1:51" ht="15">
      <c r="A48" s="1109"/>
      <c r="B48" s="961">
        <v>72</v>
      </c>
      <c r="C48" s="927"/>
      <c r="D48" s="928" t="s">
        <v>1301</v>
      </c>
      <c r="E48" s="976" t="s">
        <v>283</v>
      </c>
      <c r="F48" s="929">
        <v>2</v>
      </c>
      <c r="G48" s="930">
        <v>1.2</v>
      </c>
      <c r="H48" s="942">
        <v>1.566827</v>
      </c>
      <c r="I48" s="943">
        <v>0.79698219999999997</v>
      </c>
      <c r="J48" s="943">
        <v>19.097754299999998</v>
      </c>
      <c r="K48" s="943">
        <v>0</v>
      </c>
      <c r="L48" s="944">
        <v>0</v>
      </c>
      <c r="M48" s="934">
        <v>9.0747958425229243</v>
      </c>
      <c r="N48" s="934">
        <v>4.5870922042189397</v>
      </c>
      <c r="O48" s="934">
        <v>10.338111953258133</v>
      </c>
      <c r="P48" s="934">
        <v>0</v>
      </c>
      <c r="Q48" s="934">
        <v>0.55788039859392347</v>
      </c>
      <c r="R48" s="935">
        <f t="shared" si="0"/>
        <v>2.3147254374176267</v>
      </c>
      <c r="S48" s="898">
        <f t="shared" si="1"/>
        <v>8.6309138623999999</v>
      </c>
      <c r="T48" s="898">
        <f t="shared" si="2"/>
        <v>6.4126373720999998</v>
      </c>
      <c r="U48" s="898">
        <f t="shared" si="3"/>
        <v>2.9542588552</v>
      </c>
      <c r="V48" s="898">
        <f t="shared" si="4"/>
        <v>0.89425885519999992</v>
      </c>
      <c r="W48" s="945">
        <f t="shared" si="5"/>
        <v>2.5022496729000001</v>
      </c>
      <c r="X48" s="656">
        <f t="shared" si="6"/>
        <v>1</v>
      </c>
      <c r="Y48" s="656">
        <f t="shared" si="6"/>
        <v>1</v>
      </c>
      <c r="Z48" s="656">
        <f t="shared" si="6"/>
        <v>1</v>
      </c>
      <c r="AA48" s="656">
        <f t="shared" si="6"/>
        <v>0</v>
      </c>
      <c r="AB48" s="946">
        <f t="shared" si="6"/>
        <v>1</v>
      </c>
      <c r="AC48" s="1108"/>
      <c r="AD48" s="1080" t="s">
        <v>227</v>
      </c>
      <c r="AE48" s="12">
        <f t="shared" si="38"/>
        <v>43</v>
      </c>
      <c r="AF48" s="949" t="s">
        <v>236</v>
      </c>
      <c r="AG48" s="698">
        <f t="shared" si="29"/>
        <v>0.13235294117647059</v>
      </c>
      <c r="AH48" s="698">
        <f t="shared" si="30"/>
        <v>0.23529411764705882</v>
      </c>
      <c r="AI48" s="698">
        <f t="shared" si="31"/>
        <v>0.33823529411764708</v>
      </c>
      <c r="AJ48" s="698">
        <f t="shared" si="32"/>
        <v>7.3529411764705885E-2</v>
      </c>
      <c r="AK48" s="710">
        <f t="shared" si="33"/>
        <v>0.22058823529411764</v>
      </c>
      <c r="AL48" s="891">
        <f t="shared" si="34"/>
        <v>0.3529411764705882</v>
      </c>
      <c r="AM48" s="698">
        <f t="shared" si="35"/>
        <v>0.23529411764705882</v>
      </c>
      <c r="AN48" s="698">
        <f t="shared" si="36"/>
        <v>0.33823529411764708</v>
      </c>
      <c r="AO48" s="710">
        <f t="shared" si="37"/>
        <v>7.3529411764705885E-2</v>
      </c>
      <c r="AP48" s="885">
        <v>2</v>
      </c>
      <c r="AQ48" s="877">
        <v>0</v>
      </c>
      <c r="AR48" s="877">
        <v>0</v>
      </c>
      <c r="AS48" s="877">
        <f t="shared" si="20"/>
        <v>0.92647058823529416</v>
      </c>
      <c r="AT48" s="886">
        <f t="shared" si="21"/>
        <v>7.3529411764705885E-2</v>
      </c>
      <c r="AU48" s="877">
        <f t="shared" si="39"/>
        <v>0.30705882352941172</v>
      </c>
      <c r="AV48" s="877">
        <f t="shared" si="39"/>
        <v>0.20470588235294118</v>
      </c>
      <c r="AW48" s="877">
        <f t="shared" si="39"/>
        <v>0.41470588235294126</v>
      </c>
      <c r="AX48" s="886">
        <f t="shared" si="39"/>
        <v>7.3529411764705899E-2</v>
      </c>
      <c r="AY48" s="1119"/>
    </row>
    <row r="49" spans="1:51" ht="15">
      <c r="A49" s="1108"/>
      <c r="B49" s="961">
        <v>70</v>
      </c>
      <c r="C49" s="927"/>
      <c r="D49" s="928" t="s">
        <v>119</v>
      </c>
      <c r="E49" s="928">
        <v>29</v>
      </c>
      <c r="F49" s="929">
        <v>2</v>
      </c>
      <c r="G49" s="930">
        <v>3.6</v>
      </c>
      <c r="H49" s="942">
        <v>3.6511520000000002</v>
      </c>
      <c r="I49" s="943">
        <v>0.64341320000000002</v>
      </c>
      <c r="J49" s="943">
        <v>21.726880399999999</v>
      </c>
      <c r="K49" s="943">
        <v>4.9020899999999999E-2</v>
      </c>
      <c r="L49" s="944">
        <v>0</v>
      </c>
      <c r="M49" s="934">
        <v>9.0747958425229243</v>
      </c>
      <c r="N49" s="934">
        <v>4.5870922042189397</v>
      </c>
      <c r="O49" s="934">
        <v>10.338111953258133</v>
      </c>
      <c r="P49" s="934">
        <v>0</v>
      </c>
      <c r="Q49" s="934">
        <v>0.55788039859392347</v>
      </c>
      <c r="R49" s="935">
        <f t="shared" si="0"/>
        <v>2.7495664203343253</v>
      </c>
      <c r="S49" s="898">
        <f t="shared" si="1"/>
        <v>9.0711233024000002</v>
      </c>
      <c r="T49" s="898">
        <f t="shared" si="2"/>
        <v>6.8551395696000004</v>
      </c>
      <c r="U49" s="898">
        <f t="shared" si="3"/>
        <v>3.1993754752000001</v>
      </c>
      <c r="V49" s="898">
        <f t="shared" si="4"/>
        <v>1.1393754752</v>
      </c>
      <c r="W49" s="945">
        <f t="shared" si="5"/>
        <v>2.7579963504</v>
      </c>
      <c r="X49" s="656">
        <f t="shared" si="6"/>
        <v>1</v>
      </c>
      <c r="Y49" s="656">
        <f t="shared" si="6"/>
        <v>1</v>
      </c>
      <c r="Z49" s="656">
        <f t="shared" si="6"/>
        <v>1</v>
      </c>
      <c r="AA49" s="656">
        <f t="shared" si="6"/>
        <v>0</v>
      </c>
      <c r="AB49" s="946">
        <f t="shared" si="6"/>
        <v>1</v>
      </c>
      <c r="AC49" s="1108"/>
      <c r="AD49" s="1079" t="s">
        <v>134</v>
      </c>
      <c r="AE49" s="938">
        <f t="shared" si="38"/>
        <v>44</v>
      </c>
      <c r="AF49" s="947" t="s">
        <v>283</v>
      </c>
      <c r="AG49" s="708" t="str">
        <f t="shared" si="29"/>
        <v>-</v>
      </c>
      <c r="AH49" s="708" t="str">
        <f t="shared" si="30"/>
        <v>-</v>
      </c>
      <c r="AI49" s="708" t="str">
        <f t="shared" si="31"/>
        <v>-</v>
      </c>
      <c r="AJ49" s="708" t="str">
        <f t="shared" si="32"/>
        <v>-</v>
      </c>
      <c r="AK49" s="709">
        <f t="shared" si="33"/>
        <v>1</v>
      </c>
      <c r="AL49" s="941" t="str">
        <f t="shared" si="34"/>
        <v xml:space="preserve"> </v>
      </c>
      <c r="AM49" s="708" t="str">
        <f t="shared" si="35"/>
        <v xml:space="preserve"> </v>
      </c>
      <c r="AN49" s="708" t="str">
        <f t="shared" si="36"/>
        <v xml:space="preserve"> </v>
      </c>
      <c r="AO49" s="709" t="str">
        <f t="shared" si="37"/>
        <v xml:space="preserve"> </v>
      </c>
      <c r="AP49" s="1131" t="s">
        <v>283</v>
      </c>
      <c r="AQ49" s="883"/>
      <c r="AR49" s="883"/>
      <c r="AS49" s="883" t="str">
        <f t="shared" si="20"/>
        <v xml:space="preserve"> </v>
      </c>
      <c r="AT49" s="884" t="str">
        <f t="shared" si="21"/>
        <v xml:space="preserve"> </v>
      </c>
      <c r="AU49" s="883"/>
      <c r="AV49" s="883"/>
      <c r="AW49" s="883" t="str">
        <f>IF(AX49=" "," ",1-AX49)</f>
        <v xml:space="preserve"> </v>
      </c>
      <c r="AX49" s="884" t="str">
        <f>IF(AS49=" "," ",AS49)</f>
        <v xml:space="preserve"> </v>
      </c>
      <c r="AY49" s="1119"/>
    </row>
    <row r="50" spans="1:51" ht="15">
      <c r="A50" s="1108"/>
      <c r="B50" s="961">
        <v>71</v>
      </c>
      <c r="C50" s="927"/>
      <c r="D50" s="928" t="s">
        <v>119</v>
      </c>
      <c r="E50" s="928">
        <v>29</v>
      </c>
      <c r="F50" s="929">
        <v>2</v>
      </c>
      <c r="G50" s="930">
        <v>3.6</v>
      </c>
      <c r="H50" s="942">
        <v>3.8423829999999999</v>
      </c>
      <c r="I50" s="943">
        <v>0.21255382</v>
      </c>
      <c r="J50" s="943">
        <v>11.923538600000001</v>
      </c>
      <c r="K50" s="943">
        <v>0.1984908</v>
      </c>
      <c r="L50" s="944">
        <v>0</v>
      </c>
      <c r="M50" s="934">
        <v>9.0747958425229243</v>
      </c>
      <c r="N50" s="934">
        <v>4.5870922042189397</v>
      </c>
      <c r="O50" s="934">
        <v>10.338111953258133</v>
      </c>
      <c r="P50" s="934">
        <v>0</v>
      </c>
      <c r="Q50" s="934">
        <v>0.55788039859392347</v>
      </c>
      <c r="R50" s="935">
        <f t="shared" si="0"/>
        <v>1.6431518150957214</v>
      </c>
      <c r="S50" s="898">
        <f t="shared" si="1"/>
        <v>9.111511289600001</v>
      </c>
      <c r="T50" s="898">
        <f t="shared" si="2"/>
        <v>6.8957379109000003</v>
      </c>
      <c r="U50" s="898">
        <f t="shared" si="3"/>
        <v>3.2218642408</v>
      </c>
      <c r="V50" s="898">
        <f t="shared" si="4"/>
        <v>1.1618642407999999</v>
      </c>
      <c r="W50" s="945">
        <f t="shared" si="5"/>
        <v>2.7814603941000002</v>
      </c>
      <c r="X50" s="656">
        <f t="shared" si="6"/>
        <v>1</v>
      </c>
      <c r="Y50" s="656">
        <f t="shared" si="6"/>
        <v>1</v>
      </c>
      <c r="Z50" s="656">
        <f t="shared" si="6"/>
        <v>1</v>
      </c>
      <c r="AA50" s="656">
        <f t="shared" si="6"/>
        <v>0</v>
      </c>
      <c r="AB50" s="946">
        <f t="shared" si="6"/>
        <v>1</v>
      </c>
      <c r="AC50" s="1108"/>
      <c r="AD50" s="1079" t="s">
        <v>168</v>
      </c>
      <c r="AE50" s="938">
        <f t="shared" si="38"/>
        <v>45</v>
      </c>
      <c r="AF50" s="947" t="s">
        <v>283</v>
      </c>
      <c r="AG50" s="708" t="str">
        <f t="shared" si="29"/>
        <v>-</v>
      </c>
      <c r="AH50" s="708" t="str">
        <f t="shared" si="30"/>
        <v>-</v>
      </c>
      <c r="AI50" s="708" t="str">
        <f t="shared" si="31"/>
        <v>-</v>
      </c>
      <c r="AJ50" s="708" t="str">
        <f t="shared" si="32"/>
        <v>-</v>
      </c>
      <c r="AK50" s="709">
        <f t="shared" si="33"/>
        <v>1</v>
      </c>
      <c r="AL50" s="941" t="str">
        <f t="shared" si="34"/>
        <v xml:space="preserve"> </v>
      </c>
      <c r="AM50" s="708" t="str">
        <f t="shared" si="35"/>
        <v xml:space="preserve"> </v>
      </c>
      <c r="AN50" s="708" t="str">
        <f t="shared" si="36"/>
        <v xml:space="preserve"> </v>
      </c>
      <c r="AO50" s="709" t="str">
        <f t="shared" si="37"/>
        <v xml:space="preserve"> </v>
      </c>
      <c r="AP50" s="1131" t="s">
        <v>283</v>
      </c>
      <c r="AQ50" s="883"/>
      <c r="AR50" s="883"/>
      <c r="AS50" s="883" t="str">
        <f t="shared" si="20"/>
        <v xml:space="preserve"> </v>
      </c>
      <c r="AT50" s="884" t="str">
        <f t="shared" si="21"/>
        <v xml:space="preserve"> </v>
      </c>
      <c r="AU50" s="883"/>
      <c r="AV50" s="883"/>
      <c r="AW50" s="883" t="str">
        <f>IF(AX50=" "," ",1-AX50)</f>
        <v xml:space="preserve"> </v>
      </c>
      <c r="AX50" s="884" t="str">
        <f>IF(AS50=" "," ",AS50)</f>
        <v xml:space="preserve"> </v>
      </c>
      <c r="AY50" s="1119"/>
    </row>
    <row r="51" spans="1:51" ht="15">
      <c r="A51" s="1108"/>
      <c r="B51" s="961">
        <v>110</v>
      </c>
      <c r="C51" s="927"/>
      <c r="D51" s="928" t="s">
        <v>119</v>
      </c>
      <c r="E51" s="928">
        <v>29</v>
      </c>
      <c r="F51" s="929">
        <v>2</v>
      </c>
      <c r="G51" s="930">
        <v>3.6</v>
      </c>
      <c r="H51" s="942">
        <v>3.7831290000000002</v>
      </c>
      <c r="I51" s="943">
        <v>0.39533576388888803</v>
      </c>
      <c r="J51" s="943">
        <v>15.8169356944444</v>
      </c>
      <c r="K51" s="943">
        <v>4.8497700000000005E-2</v>
      </c>
      <c r="L51" s="944">
        <v>0</v>
      </c>
      <c r="M51" s="934">
        <v>9.0747958425229243</v>
      </c>
      <c r="N51" s="934">
        <v>4.5870922042189397</v>
      </c>
      <c r="O51" s="934">
        <v>10.338111953258133</v>
      </c>
      <c r="P51" s="934">
        <v>0</v>
      </c>
      <c r="Q51" s="934">
        <v>0.55788039859392347</v>
      </c>
      <c r="R51" s="935">
        <f t="shared" si="0"/>
        <v>1.9090514256702154</v>
      </c>
      <c r="S51" s="898">
        <f t="shared" si="1"/>
        <v>9.0989968448000003</v>
      </c>
      <c r="T51" s="898">
        <f t="shared" si="2"/>
        <v>6.8831582867000005</v>
      </c>
      <c r="U51" s="898">
        <f t="shared" si="3"/>
        <v>3.2148959704000002</v>
      </c>
      <c r="V51" s="898">
        <f t="shared" si="4"/>
        <v>1.1548959703999999</v>
      </c>
      <c r="W51" s="945">
        <f t="shared" si="5"/>
        <v>2.7741899283000002</v>
      </c>
      <c r="X51" s="656">
        <f t="shared" si="6"/>
        <v>1</v>
      </c>
      <c r="Y51" s="656">
        <f t="shared" si="6"/>
        <v>1</v>
      </c>
      <c r="Z51" s="656">
        <f t="shared" si="6"/>
        <v>1</v>
      </c>
      <c r="AA51" s="656">
        <f t="shared" si="6"/>
        <v>0</v>
      </c>
      <c r="AB51" s="946">
        <f t="shared" si="6"/>
        <v>1</v>
      </c>
      <c r="AC51" s="1108"/>
      <c r="AD51" s="1080" t="s">
        <v>228</v>
      </c>
      <c r="AE51" s="12">
        <f t="shared" si="38"/>
        <v>46</v>
      </c>
      <c r="AF51" s="949" t="s">
        <v>203</v>
      </c>
      <c r="AG51" s="698">
        <f t="shared" si="29"/>
        <v>6.0606060606060608E-2</v>
      </c>
      <c r="AH51" s="698">
        <f t="shared" si="30"/>
        <v>0.69696969696969702</v>
      </c>
      <c r="AI51" s="698">
        <f t="shared" si="31"/>
        <v>9.0909090909090912E-2</v>
      </c>
      <c r="AJ51" s="698">
        <f t="shared" si="32"/>
        <v>0</v>
      </c>
      <c r="AK51" s="710">
        <f t="shared" si="33"/>
        <v>0.15151515151515149</v>
      </c>
      <c r="AL51" s="891">
        <f t="shared" si="34"/>
        <v>0.2121212121212121</v>
      </c>
      <c r="AM51" s="698">
        <f t="shared" si="35"/>
        <v>0.69696969696969702</v>
      </c>
      <c r="AN51" s="698">
        <f t="shared" si="36"/>
        <v>9.0909090909090912E-2</v>
      </c>
      <c r="AO51" s="710">
        <f t="shared" si="37"/>
        <v>0</v>
      </c>
      <c r="AP51" s="885">
        <v>2</v>
      </c>
      <c r="AQ51" s="877">
        <v>0</v>
      </c>
      <c r="AR51" s="877">
        <v>0</v>
      </c>
      <c r="AS51" s="877">
        <f t="shared" si="20"/>
        <v>1</v>
      </c>
      <c r="AT51" s="886">
        <f t="shared" si="21"/>
        <v>0</v>
      </c>
      <c r="AU51" s="877">
        <f t="shared" ref="AU51:AX55" si="40">(AL51*(1-$AU$3))+(AQ51*$AU$3)</f>
        <v>0.18454545454545451</v>
      </c>
      <c r="AV51" s="877">
        <f t="shared" si="40"/>
        <v>0.60636363636363644</v>
      </c>
      <c r="AW51" s="877">
        <f t="shared" si="40"/>
        <v>0.20909090909090911</v>
      </c>
      <c r="AX51" s="886">
        <f t="shared" si="40"/>
        <v>0</v>
      </c>
      <c r="AY51" s="1119"/>
    </row>
    <row r="52" spans="1:51" ht="15">
      <c r="A52" s="1108"/>
      <c r="B52" s="961">
        <v>112</v>
      </c>
      <c r="C52" s="927"/>
      <c r="D52" s="928" t="s">
        <v>119</v>
      </c>
      <c r="E52" s="928">
        <v>29</v>
      </c>
      <c r="F52" s="929">
        <v>2</v>
      </c>
      <c r="G52" s="930">
        <v>3.6</v>
      </c>
      <c r="H52" s="942">
        <v>3.973957</v>
      </c>
      <c r="I52" s="943">
        <v>0.212593402777777</v>
      </c>
      <c r="J52" s="943">
        <v>11.6440908333333</v>
      </c>
      <c r="K52" s="943">
        <v>0.19753499999999999</v>
      </c>
      <c r="L52" s="944">
        <v>0</v>
      </c>
      <c r="M52" s="934">
        <v>9.0747958425229243</v>
      </c>
      <c r="N52" s="934">
        <v>4.5870922042189397</v>
      </c>
      <c r="O52" s="934">
        <v>10.338111953258133</v>
      </c>
      <c r="P52" s="934">
        <v>0</v>
      </c>
      <c r="Q52" s="934">
        <v>0.55788039859392347</v>
      </c>
      <c r="R52" s="935">
        <f t="shared" si="0"/>
        <v>1.5577943374785903</v>
      </c>
      <c r="S52" s="898">
        <f t="shared" si="1"/>
        <v>9.1392997184000002</v>
      </c>
      <c r="T52" s="898">
        <f t="shared" si="2"/>
        <v>6.9236710711000002</v>
      </c>
      <c r="U52" s="898">
        <f t="shared" si="3"/>
        <v>3.2373373432000001</v>
      </c>
      <c r="V52" s="898">
        <f t="shared" si="4"/>
        <v>1.1773373432000001</v>
      </c>
      <c r="W52" s="945">
        <f t="shared" si="5"/>
        <v>2.7976045239</v>
      </c>
      <c r="X52" s="656">
        <f t="shared" si="6"/>
        <v>1</v>
      </c>
      <c r="Y52" s="656">
        <f t="shared" si="6"/>
        <v>1</v>
      </c>
      <c r="Z52" s="656">
        <f t="shared" si="6"/>
        <v>1</v>
      </c>
      <c r="AA52" s="656">
        <f t="shared" si="6"/>
        <v>0</v>
      </c>
      <c r="AB52" s="946">
        <f t="shared" si="6"/>
        <v>1</v>
      </c>
      <c r="AC52" s="1108"/>
      <c r="AD52" s="1080" t="s">
        <v>229</v>
      </c>
      <c r="AE52" s="12">
        <f t="shared" si="38"/>
        <v>47</v>
      </c>
      <c r="AF52" s="949" t="s">
        <v>203</v>
      </c>
      <c r="AG52" s="698">
        <f t="shared" si="29"/>
        <v>6.0606060606060608E-2</v>
      </c>
      <c r="AH52" s="698">
        <f t="shared" si="30"/>
        <v>0.69696969696969702</v>
      </c>
      <c r="AI52" s="698">
        <f t="shared" si="31"/>
        <v>9.0909090909090912E-2</v>
      </c>
      <c r="AJ52" s="698">
        <f t="shared" si="32"/>
        <v>0</v>
      </c>
      <c r="AK52" s="710">
        <f t="shared" si="33"/>
        <v>0.15151515151515149</v>
      </c>
      <c r="AL52" s="891">
        <f t="shared" si="34"/>
        <v>0.2121212121212121</v>
      </c>
      <c r="AM52" s="698">
        <f t="shared" si="35"/>
        <v>0.69696969696969702</v>
      </c>
      <c r="AN52" s="698">
        <f t="shared" si="36"/>
        <v>9.0909090909090912E-2</v>
      </c>
      <c r="AO52" s="710">
        <f t="shared" si="37"/>
        <v>0</v>
      </c>
      <c r="AP52" s="885">
        <v>2</v>
      </c>
      <c r="AQ52" s="877">
        <v>0</v>
      </c>
      <c r="AR52" s="877">
        <v>0</v>
      </c>
      <c r="AS52" s="877">
        <f t="shared" si="20"/>
        <v>1</v>
      </c>
      <c r="AT52" s="886">
        <f t="shared" si="21"/>
        <v>0</v>
      </c>
      <c r="AU52" s="877">
        <f t="shared" si="40"/>
        <v>0.18454545454545451</v>
      </c>
      <c r="AV52" s="877">
        <f t="shared" si="40"/>
        <v>0.60636363636363644</v>
      </c>
      <c r="AW52" s="877">
        <f t="shared" si="40"/>
        <v>0.20909090909090911</v>
      </c>
      <c r="AX52" s="886">
        <f t="shared" si="40"/>
        <v>0</v>
      </c>
      <c r="AY52" s="1119"/>
    </row>
    <row r="53" spans="1:51" ht="15">
      <c r="A53" s="1108"/>
      <c r="B53" s="961" t="s">
        <v>1302</v>
      </c>
      <c r="C53" s="927"/>
      <c r="D53" s="928" t="s">
        <v>119</v>
      </c>
      <c r="E53" s="928">
        <v>29</v>
      </c>
      <c r="F53" s="929">
        <v>2</v>
      </c>
      <c r="G53" s="930">
        <v>5</v>
      </c>
      <c r="H53" s="942">
        <v>2.3996285249999647</v>
      </c>
      <c r="I53" s="943">
        <v>0.16056275694444458</v>
      </c>
      <c r="J53" s="943">
        <v>9.422500736110754</v>
      </c>
      <c r="K53" s="943">
        <v>0.13946880000000003</v>
      </c>
      <c r="L53" s="944">
        <v>0</v>
      </c>
      <c r="M53" s="934">
        <v>9.0747958425229243</v>
      </c>
      <c r="N53" s="934">
        <v>4.5870922042189397</v>
      </c>
      <c r="O53" s="934">
        <v>10.338111953258133</v>
      </c>
      <c r="P53" s="934">
        <v>0</v>
      </c>
      <c r="Q53" s="934">
        <v>0.55788039859392347</v>
      </c>
      <c r="R53" s="935">
        <f t="shared" si="0"/>
        <v>1.4107095519443149</v>
      </c>
      <c r="S53" s="898">
        <f t="shared" si="1"/>
        <v>8.8068015444799936</v>
      </c>
      <c r="T53" s="898">
        <f t="shared" si="2"/>
        <v>6.5894411358574922</v>
      </c>
      <c r="U53" s="898">
        <f t="shared" si="3"/>
        <v>3.0521963145399957</v>
      </c>
      <c r="V53" s="898">
        <f t="shared" si="4"/>
        <v>0.99219631453999579</v>
      </c>
      <c r="W53" s="945">
        <f t="shared" si="5"/>
        <v>2.6044344200174958</v>
      </c>
      <c r="X53" s="656">
        <f t="shared" si="6"/>
        <v>1</v>
      </c>
      <c r="Y53" s="656">
        <f t="shared" si="6"/>
        <v>1</v>
      </c>
      <c r="Z53" s="656">
        <f t="shared" si="6"/>
        <v>1</v>
      </c>
      <c r="AA53" s="656">
        <f t="shared" si="6"/>
        <v>0</v>
      </c>
      <c r="AB53" s="946">
        <f t="shared" si="6"/>
        <v>1</v>
      </c>
      <c r="AC53" s="1108"/>
      <c r="AD53" s="1080" t="s">
        <v>230</v>
      </c>
      <c r="AE53" s="12">
        <f t="shared" si="38"/>
        <v>48</v>
      </c>
      <c r="AF53" s="949" t="s">
        <v>236</v>
      </c>
      <c r="AG53" s="698">
        <f t="shared" si="29"/>
        <v>0.13235294117647059</v>
      </c>
      <c r="AH53" s="698">
        <f t="shared" si="30"/>
        <v>0.23529411764705882</v>
      </c>
      <c r="AI53" s="698">
        <f t="shared" si="31"/>
        <v>0.33823529411764708</v>
      </c>
      <c r="AJ53" s="698">
        <f t="shared" si="32"/>
        <v>7.3529411764705885E-2</v>
      </c>
      <c r="AK53" s="710">
        <f t="shared" si="33"/>
        <v>0.22058823529411764</v>
      </c>
      <c r="AL53" s="891">
        <f t="shared" si="34"/>
        <v>0.3529411764705882</v>
      </c>
      <c r="AM53" s="698">
        <f t="shared" si="35"/>
        <v>0.23529411764705882</v>
      </c>
      <c r="AN53" s="698">
        <f t="shared" si="36"/>
        <v>0.33823529411764708</v>
      </c>
      <c r="AO53" s="710">
        <f t="shared" si="37"/>
        <v>7.3529411764705885E-2</v>
      </c>
      <c r="AP53" s="885">
        <v>2</v>
      </c>
      <c r="AQ53" s="877">
        <v>0</v>
      </c>
      <c r="AR53" s="877">
        <v>0</v>
      </c>
      <c r="AS53" s="877">
        <f t="shared" si="20"/>
        <v>0.92647058823529416</v>
      </c>
      <c r="AT53" s="886">
        <f t="shared" si="21"/>
        <v>7.3529411764705885E-2</v>
      </c>
      <c r="AU53" s="877">
        <f t="shared" si="40"/>
        <v>0.30705882352941172</v>
      </c>
      <c r="AV53" s="877">
        <f t="shared" si="40"/>
        <v>0.20470588235294118</v>
      </c>
      <c r="AW53" s="877">
        <f t="shared" si="40"/>
        <v>0.41470588235294126</v>
      </c>
      <c r="AX53" s="886">
        <f t="shared" si="40"/>
        <v>7.3529411764705899E-2</v>
      </c>
      <c r="AY53" s="1119"/>
    </row>
    <row r="54" spans="1:51" ht="15">
      <c r="A54" s="1108"/>
      <c r="B54" s="961" t="s">
        <v>1303</v>
      </c>
      <c r="C54" s="927"/>
      <c r="D54" s="928" t="s">
        <v>119</v>
      </c>
      <c r="E54" s="928">
        <v>29</v>
      </c>
      <c r="F54" s="929">
        <v>2</v>
      </c>
      <c r="G54" s="930">
        <v>5</v>
      </c>
      <c r="H54" s="942">
        <v>4.0671888444445505</v>
      </c>
      <c r="I54" s="943">
        <v>0.49450177777777482</v>
      </c>
      <c r="J54" s="943">
        <v>22.068008311805805</v>
      </c>
      <c r="K54" s="943">
        <v>0.14793599999999998</v>
      </c>
      <c r="L54" s="944">
        <v>0</v>
      </c>
      <c r="M54" s="934">
        <v>9.0747958425229243</v>
      </c>
      <c r="N54" s="934">
        <v>4.5870922042189397</v>
      </c>
      <c r="O54" s="934">
        <v>10.338111953258133</v>
      </c>
      <c r="P54" s="934">
        <v>0</v>
      </c>
      <c r="Q54" s="934">
        <v>0.55788039859392347</v>
      </c>
      <c r="R54" s="935">
        <f t="shared" si="0"/>
        <v>3.1344209711503392</v>
      </c>
      <c r="S54" s="898">
        <f t="shared" si="1"/>
        <v>9.1589902839466895</v>
      </c>
      <c r="T54" s="898">
        <f t="shared" si="2"/>
        <v>6.9434641916755782</v>
      </c>
      <c r="U54" s="898">
        <f t="shared" si="3"/>
        <v>3.2483014081066792</v>
      </c>
      <c r="V54" s="898">
        <f t="shared" si="4"/>
        <v>1.1883014081066792</v>
      </c>
      <c r="W54" s="945">
        <f t="shared" si="5"/>
        <v>2.8090440712133464</v>
      </c>
      <c r="X54" s="656">
        <f t="shared" si="6"/>
        <v>1</v>
      </c>
      <c r="Y54" s="656">
        <f t="shared" si="6"/>
        <v>1</v>
      </c>
      <c r="Z54" s="656">
        <f t="shared" si="6"/>
        <v>1</v>
      </c>
      <c r="AA54" s="656">
        <f t="shared" si="6"/>
        <v>0</v>
      </c>
      <c r="AB54" s="946">
        <f t="shared" si="6"/>
        <v>0</v>
      </c>
      <c r="AC54" s="1108"/>
      <c r="AD54" s="1080" t="s">
        <v>123</v>
      </c>
      <c r="AE54" s="12">
        <f t="shared" si="38"/>
        <v>49</v>
      </c>
      <c r="AF54" s="949" t="s">
        <v>203</v>
      </c>
      <c r="AG54" s="698">
        <f t="shared" si="29"/>
        <v>6.0606060606060608E-2</v>
      </c>
      <c r="AH54" s="698">
        <f t="shared" si="30"/>
        <v>0.69696969696969702</v>
      </c>
      <c r="AI54" s="698">
        <f t="shared" si="31"/>
        <v>9.0909090909090912E-2</v>
      </c>
      <c r="AJ54" s="698">
        <f t="shared" si="32"/>
        <v>0</v>
      </c>
      <c r="AK54" s="710">
        <f t="shared" si="33"/>
        <v>0.15151515151515149</v>
      </c>
      <c r="AL54" s="891">
        <f t="shared" si="34"/>
        <v>0.2121212121212121</v>
      </c>
      <c r="AM54" s="698">
        <f t="shared" si="35"/>
        <v>0.69696969696969702</v>
      </c>
      <c r="AN54" s="698">
        <f t="shared" si="36"/>
        <v>9.0909090909090912E-2</v>
      </c>
      <c r="AO54" s="710">
        <f t="shared" si="37"/>
        <v>0</v>
      </c>
      <c r="AP54" s="885">
        <v>2</v>
      </c>
      <c r="AQ54" s="877">
        <v>0</v>
      </c>
      <c r="AR54" s="877">
        <v>0</v>
      </c>
      <c r="AS54" s="877">
        <f t="shared" si="20"/>
        <v>1</v>
      </c>
      <c r="AT54" s="886">
        <f t="shared" si="21"/>
        <v>0</v>
      </c>
      <c r="AU54" s="877">
        <f t="shared" si="40"/>
        <v>0.18454545454545451</v>
      </c>
      <c r="AV54" s="877">
        <f t="shared" si="40"/>
        <v>0.60636363636363644</v>
      </c>
      <c r="AW54" s="877">
        <f t="shared" si="40"/>
        <v>0.20909090909090911</v>
      </c>
      <c r="AX54" s="886">
        <f t="shared" si="40"/>
        <v>0</v>
      </c>
      <c r="AY54" s="1119"/>
    </row>
    <row r="55" spans="1:51" ht="15">
      <c r="A55" s="1108"/>
      <c r="B55" s="957" t="s">
        <v>1304</v>
      </c>
      <c r="C55" s="927"/>
      <c r="D55" s="928" t="s">
        <v>119</v>
      </c>
      <c r="E55" s="928">
        <v>29</v>
      </c>
      <c r="F55" s="929">
        <v>2</v>
      </c>
      <c r="G55" s="930">
        <v>3.7</v>
      </c>
      <c r="H55" s="958">
        <v>4.2143667722223137</v>
      </c>
      <c r="I55" s="959">
        <v>0.16874999999999973</v>
      </c>
      <c r="J55" s="959">
        <v>12.768637499999993</v>
      </c>
      <c r="K55" s="959">
        <v>0.104</v>
      </c>
      <c r="L55" s="944">
        <v>0</v>
      </c>
      <c r="M55" s="934">
        <v>9.0747958425229243</v>
      </c>
      <c r="N55" s="934">
        <v>4.5870922042189397</v>
      </c>
      <c r="O55" s="934">
        <v>10.338111953258133</v>
      </c>
      <c r="P55" s="934">
        <v>0</v>
      </c>
      <c r="Q55" s="934">
        <v>0.55788039859392347</v>
      </c>
      <c r="R55" s="935">
        <f t="shared" si="0"/>
        <v>1.6502649138780052</v>
      </c>
      <c r="S55" s="898">
        <f t="shared" si="1"/>
        <v>9.1900742622933542</v>
      </c>
      <c r="T55" s="898">
        <f t="shared" si="2"/>
        <v>6.9747100657427969</v>
      </c>
      <c r="U55" s="898">
        <f t="shared" si="3"/>
        <v>3.2656095324133441</v>
      </c>
      <c r="V55" s="898">
        <f t="shared" si="4"/>
        <v>1.205609532413344</v>
      </c>
      <c r="W55" s="945">
        <f t="shared" si="5"/>
        <v>2.827102802951678</v>
      </c>
      <c r="X55" s="656">
        <f t="shared" si="6"/>
        <v>1</v>
      </c>
      <c r="Y55" s="656">
        <f t="shared" si="6"/>
        <v>1</v>
      </c>
      <c r="Z55" s="656">
        <f t="shared" si="6"/>
        <v>1</v>
      </c>
      <c r="AA55" s="656">
        <f t="shared" si="6"/>
        <v>0</v>
      </c>
      <c r="AB55" s="946">
        <f t="shared" si="6"/>
        <v>1</v>
      </c>
      <c r="AC55" s="1108"/>
      <c r="AD55" s="1080" t="s">
        <v>124</v>
      </c>
      <c r="AE55" s="12">
        <f t="shared" si="38"/>
        <v>50</v>
      </c>
      <c r="AF55" s="949" t="s">
        <v>236</v>
      </c>
      <c r="AG55" s="698">
        <f t="shared" si="29"/>
        <v>0.13235294117647059</v>
      </c>
      <c r="AH55" s="698">
        <f t="shared" si="30"/>
        <v>0.23529411764705882</v>
      </c>
      <c r="AI55" s="698">
        <f t="shared" si="31"/>
        <v>0.33823529411764708</v>
      </c>
      <c r="AJ55" s="698">
        <f t="shared" si="32"/>
        <v>7.3529411764705885E-2</v>
      </c>
      <c r="AK55" s="710">
        <f t="shared" si="33"/>
        <v>0.22058823529411764</v>
      </c>
      <c r="AL55" s="891">
        <f t="shared" si="34"/>
        <v>0.3529411764705882</v>
      </c>
      <c r="AM55" s="698">
        <f t="shared" si="35"/>
        <v>0.23529411764705882</v>
      </c>
      <c r="AN55" s="698">
        <f t="shared" si="36"/>
        <v>0.33823529411764708</v>
      </c>
      <c r="AO55" s="710">
        <f t="shared" si="37"/>
        <v>7.3529411764705885E-2</v>
      </c>
      <c r="AP55" s="885">
        <v>2</v>
      </c>
      <c r="AQ55" s="877">
        <v>0</v>
      </c>
      <c r="AR55" s="877">
        <v>0</v>
      </c>
      <c r="AS55" s="877">
        <f t="shared" si="20"/>
        <v>0.92647058823529416</v>
      </c>
      <c r="AT55" s="886">
        <f t="shared" si="21"/>
        <v>7.3529411764705885E-2</v>
      </c>
      <c r="AU55" s="877">
        <f t="shared" si="40"/>
        <v>0.30705882352941172</v>
      </c>
      <c r="AV55" s="877">
        <f t="shared" si="40"/>
        <v>0.20470588235294118</v>
      </c>
      <c r="AW55" s="877">
        <f t="shared" si="40"/>
        <v>0.41470588235294126</v>
      </c>
      <c r="AX55" s="886">
        <f t="shared" si="40"/>
        <v>7.3529411764705899E-2</v>
      </c>
      <c r="AY55" s="1119"/>
    </row>
    <row r="56" spans="1:51" ht="15">
      <c r="A56" s="1108"/>
      <c r="B56" s="963" t="s">
        <v>1305</v>
      </c>
      <c r="C56" s="927"/>
      <c r="D56" s="928" t="s">
        <v>119</v>
      </c>
      <c r="E56" s="928">
        <v>29</v>
      </c>
      <c r="F56" s="929">
        <v>2</v>
      </c>
      <c r="G56" s="930">
        <v>3.7</v>
      </c>
      <c r="H56" s="958">
        <v>2.5151806777777588</v>
      </c>
      <c r="I56" s="959">
        <v>1.717325</v>
      </c>
      <c r="J56" s="959">
        <v>34.624939166666664</v>
      </c>
      <c r="K56" s="959">
        <v>6.3E-2</v>
      </c>
      <c r="L56" s="944">
        <v>0</v>
      </c>
      <c r="M56" s="934">
        <v>9.0747958425229243</v>
      </c>
      <c r="N56" s="934">
        <v>4.5870922042189397</v>
      </c>
      <c r="O56" s="934">
        <v>10.338111953258133</v>
      </c>
      <c r="P56" s="934">
        <v>0</v>
      </c>
      <c r="Q56" s="934">
        <v>0.55788039859392347</v>
      </c>
      <c r="R56" s="935">
        <f t="shared" si="0"/>
        <v>3.9395466566226776</v>
      </c>
      <c r="S56" s="898">
        <f t="shared" si="1"/>
        <v>8.8312061591466637</v>
      </c>
      <c r="T56" s="898">
        <f t="shared" si="2"/>
        <v>6.6139728578922181</v>
      </c>
      <c r="U56" s="898">
        <f t="shared" si="3"/>
        <v>3.0657852477066645</v>
      </c>
      <c r="V56" s="898">
        <f t="shared" si="4"/>
        <v>1.0057852477066644</v>
      </c>
      <c r="W56" s="945">
        <f t="shared" si="5"/>
        <v>2.6186126691633311</v>
      </c>
      <c r="X56" s="656">
        <f t="shared" si="6"/>
        <v>1</v>
      </c>
      <c r="Y56" s="656">
        <f t="shared" si="6"/>
        <v>1</v>
      </c>
      <c r="Z56" s="656">
        <f t="shared" si="6"/>
        <v>0</v>
      </c>
      <c r="AA56" s="656">
        <f t="shared" si="6"/>
        <v>0</v>
      </c>
      <c r="AB56" s="946">
        <f t="shared" si="6"/>
        <v>0</v>
      </c>
      <c r="AC56" s="1108"/>
      <c r="AD56" s="1079" t="s">
        <v>125</v>
      </c>
      <c r="AE56" s="938">
        <f t="shared" si="38"/>
        <v>51</v>
      </c>
      <c r="AF56" s="947" t="s">
        <v>283</v>
      </c>
      <c r="AG56" s="708" t="str">
        <f t="shared" si="29"/>
        <v>-</v>
      </c>
      <c r="AH56" s="708" t="str">
        <f t="shared" si="30"/>
        <v>-</v>
      </c>
      <c r="AI56" s="708" t="str">
        <f t="shared" si="31"/>
        <v>-</v>
      </c>
      <c r="AJ56" s="708" t="str">
        <f t="shared" si="32"/>
        <v>-</v>
      </c>
      <c r="AK56" s="709">
        <f t="shared" si="33"/>
        <v>1</v>
      </c>
      <c r="AL56" s="941" t="str">
        <f t="shared" si="34"/>
        <v xml:space="preserve"> </v>
      </c>
      <c r="AM56" s="708" t="str">
        <f t="shared" si="35"/>
        <v xml:space="preserve"> </v>
      </c>
      <c r="AN56" s="708" t="str">
        <f t="shared" si="36"/>
        <v xml:space="preserve"> </v>
      </c>
      <c r="AO56" s="709" t="str">
        <f t="shared" si="37"/>
        <v xml:space="preserve"> </v>
      </c>
      <c r="AP56" s="948" t="s">
        <v>283</v>
      </c>
      <c r="AQ56" s="883"/>
      <c r="AR56" s="883"/>
      <c r="AS56" s="883" t="str">
        <f t="shared" si="20"/>
        <v xml:space="preserve"> </v>
      </c>
      <c r="AT56" s="884" t="str">
        <f t="shared" si="21"/>
        <v xml:space="preserve"> </v>
      </c>
      <c r="AU56" s="883"/>
      <c r="AV56" s="883"/>
      <c r="AW56" s="883"/>
      <c r="AX56" s="884"/>
      <c r="AY56" s="1119"/>
    </row>
    <row r="57" spans="1:51" ht="15">
      <c r="A57" s="1110"/>
      <c r="B57" s="963">
        <v>1050</v>
      </c>
      <c r="C57" s="927"/>
      <c r="D57" s="928" t="s">
        <v>119</v>
      </c>
      <c r="E57" s="928">
        <v>29</v>
      </c>
      <c r="F57" s="929">
        <v>2</v>
      </c>
      <c r="G57" s="930">
        <v>3.7</v>
      </c>
      <c r="H57" s="958">
        <v>3.5287733550130134</v>
      </c>
      <c r="I57" s="959">
        <v>0.17874166666667049</v>
      </c>
      <c r="J57" s="959">
        <v>11.481</v>
      </c>
      <c r="K57" s="959">
        <v>0.42</v>
      </c>
      <c r="L57" s="944">
        <v>0</v>
      </c>
      <c r="M57" s="934">
        <v>9.0747958425229243</v>
      </c>
      <c r="N57" s="934">
        <v>4.5870922042189397</v>
      </c>
      <c r="O57" s="934">
        <v>10.338111953258133</v>
      </c>
      <c r="P57" s="934">
        <v>0</v>
      </c>
      <c r="Q57" s="934">
        <v>0.55788039859392347</v>
      </c>
      <c r="R57" s="935">
        <f t="shared" si="0"/>
        <v>2.0410138969854574</v>
      </c>
      <c r="S57" s="898">
        <f t="shared" si="1"/>
        <v>9.0452769325787497</v>
      </c>
      <c r="T57" s="898">
        <f t="shared" si="2"/>
        <v>6.8291585832692627</v>
      </c>
      <c r="U57" s="898">
        <f t="shared" si="3"/>
        <v>3.1849837465495305</v>
      </c>
      <c r="V57" s="898">
        <f t="shared" si="4"/>
        <v>1.1249837465495303</v>
      </c>
      <c r="W57" s="945">
        <f t="shared" si="5"/>
        <v>2.7429804906600967</v>
      </c>
      <c r="X57" s="656">
        <f t="shared" ref="X57:AB107" si="41">IF($R57&lt;=S57,1,0)</f>
        <v>1</v>
      </c>
      <c r="Y57" s="656">
        <f t="shared" si="41"/>
        <v>1</v>
      </c>
      <c r="Z57" s="656">
        <f t="shared" si="41"/>
        <v>1</v>
      </c>
      <c r="AA57" s="656">
        <f t="shared" si="41"/>
        <v>0</v>
      </c>
      <c r="AB57" s="946">
        <f t="shared" si="41"/>
        <v>1</v>
      </c>
      <c r="AC57" s="1108"/>
      <c r="AD57" s="1080" t="s">
        <v>181</v>
      </c>
      <c r="AE57" s="12">
        <f t="shared" si="38"/>
        <v>52</v>
      </c>
      <c r="AF57" s="949" t="s">
        <v>181</v>
      </c>
      <c r="AG57" s="698">
        <f t="shared" si="29"/>
        <v>0</v>
      </c>
      <c r="AH57" s="698">
        <f t="shared" si="30"/>
        <v>1</v>
      </c>
      <c r="AI57" s="698">
        <f t="shared" si="31"/>
        <v>0</v>
      </c>
      <c r="AJ57" s="698">
        <f t="shared" si="32"/>
        <v>0</v>
      </c>
      <c r="AK57" s="710">
        <f t="shared" si="33"/>
        <v>0</v>
      </c>
      <c r="AL57" s="891">
        <f t="shared" si="34"/>
        <v>0</v>
      </c>
      <c r="AM57" s="698">
        <f t="shared" si="35"/>
        <v>1</v>
      </c>
      <c r="AN57" s="698">
        <f t="shared" si="36"/>
        <v>0</v>
      </c>
      <c r="AO57" s="710">
        <f t="shared" si="37"/>
        <v>0</v>
      </c>
      <c r="AP57" s="885">
        <v>2</v>
      </c>
      <c r="AQ57" s="877">
        <v>0</v>
      </c>
      <c r="AR57" s="877">
        <v>0</v>
      </c>
      <c r="AS57" s="877">
        <f t="shared" si="20"/>
        <v>1</v>
      </c>
      <c r="AT57" s="886">
        <f t="shared" si="21"/>
        <v>0</v>
      </c>
      <c r="AU57" s="877">
        <f>(AL57*(1-$AU$3))+(AQ57*$AU$3)</f>
        <v>0</v>
      </c>
      <c r="AV57" s="877">
        <f>(AM57*(1-$AU$3))+(AR57*$AU$3)</f>
        <v>0.87</v>
      </c>
      <c r="AW57" s="877">
        <f>(AN57*(1-$AU$3))+(AS57*$AU$3)</f>
        <v>0.13</v>
      </c>
      <c r="AX57" s="886">
        <f>(AO57*(1-$AU$3))+(AT57*$AU$3)</f>
        <v>0</v>
      </c>
      <c r="AY57" s="1119"/>
    </row>
    <row r="58" spans="1:51" ht="15">
      <c r="A58" s="1110"/>
      <c r="B58" s="963" t="s">
        <v>1306</v>
      </c>
      <c r="C58" s="927"/>
      <c r="D58" s="928" t="s">
        <v>119</v>
      </c>
      <c r="E58" s="928">
        <v>29</v>
      </c>
      <c r="F58" s="929">
        <v>2</v>
      </c>
      <c r="G58" s="930">
        <v>3.7</v>
      </c>
      <c r="H58" s="958">
        <v>3.8339487055553825</v>
      </c>
      <c r="I58" s="959">
        <v>0.98300000000000054</v>
      </c>
      <c r="J58" s="959">
        <v>31.220783333333344</v>
      </c>
      <c r="K58" s="959">
        <v>6.8599999999999994E-2</v>
      </c>
      <c r="L58" s="944">
        <v>0</v>
      </c>
      <c r="M58" s="934">
        <v>9.0747958425229243</v>
      </c>
      <c r="N58" s="934">
        <v>4.5870922042189397</v>
      </c>
      <c r="O58" s="934">
        <v>10.338111953258133</v>
      </c>
      <c r="P58" s="934">
        <v>0</v>
      </c>
      <c r="Q58" s="934">
        <v>0.55788039859392347</v>
      </c>
      <c r="R58" s="935">
        <f t="shared" si="0"/>
        <v>4.1435758830005689</v>
      </c>
      <c r="S58" s="898">
        <f t="shared" si="1"/>
        <v>9.1097299666132976</v>
      </c>
      <c r="T58" s="898">
        <f t="shared" si="2"/>
        <v>6.8939473101894073</v>
      </c>
      <c r="U58" s="898">
        <f t="shared" si="3"/>
        <v>3.2208723677733131</v>
      </c>
      <c r="V58" s="898">
        <f t="shared" si="4"/>
        <v>1.160872367773313</v>
      </c>
      <c r="W58" s="945">
        <f t="shared" si="5"/>
        <v>2.7804255061716456</v>
      </c>
      <c r="X58" s="656">
        <f t="shared" si="41"/>
        <v>1</v>
      </c>
      <c r="Y58" s="656">
        <f t="shared" si="41"/>
        <v>1</v>
      </c>
      <c r="Z58" s="656">
        <f t="shared" si="41"/>
        <v>0</v>
      </c>
      <c r="AA58" s="656">
        <f t="shared" si="41"/>
        <v>0</v>
      </c>
      <c r="AB58" s="946">
        <f t="shared" si="41"/>
        <v>0</v>
      </c>
      <c r="AC58" s="1108"/>
      <c r="AD58" s="1079" t="s">
        <v>779</v>
      </c>
      <c r="AE58" s="938">
        <f t="shared" si="38"/>
        <v>53</v>
      </c>
      <c r="AF58" s="947" t="s">
        <v>283</v>
      </c>
      <c r="AG58" s="708" t="str">
        <f t="shared" si="29"/>
        <v>-</v>
      </c>
      <c r="AH58" s="708" t="str">
        <f t="shared" si="30"/>
        <v>-</v>
      </c>
      <c r="AI58" s="708" t="str">
        <f t="shared" si="31"/>
        <v>-</v>
      </c>
      <c r="AJ58" s="708" t="str">
        <f t="shared" si="32"/>
        <v>-</v>
      </c>
      <c r="AK58" s="709">
        <f t="shared" si="33"/>
        <v>1</v>
      </c>
      <c r="AL58" s="941" t="str">
        <f t="shared" si="34"/>
        <v xml:space="preserve"> </v>
      </c>
      <c r="AM58" s="708" t="str">
        <f t="shared" si="35"/>
        <v xml:space="preserve"> </v>
      </c>
      <c r="AN58" s="708" t="str">
        <f t="shared" si="36"/>
        <v xml:space="preserve"> </v>
      </c>
      <c r="AO58" s="709" t="str">
        <f t="shared" si="37"/>
        <v xml:space="preserve"> </v>
      </c>
      <c r="AP58" s="948" t="s">
        <v>283</v>
      </c>
      <c r="AQ58" s="883"/>
      <c r="AR58" s="883"/>
      <c r="AS58" s="883" t="str">
        <f t="shared" si="20"/>
        <v xml:space="preserve"> </v>
      </c>
      <c r="AT58" s="884" t="str">
        <f t="shared" si="21"/>
        <v xml:space="preserve"> </v>
      </c>
      <c r="AU58" s="883"/>
      <c r="AV58" s="883"/>
      <c r="AW58" s="883"/>
      <c r="AX58" s="884"/>
      <c r="AY58" s="1119"/>
    </row>
    <row r="59" spans="1:51" ht="15">
      <c r="A59" s="1110"/>
      <c r="B59" s="963" t="s">
        <v>1307</v>
      </c>
      <c r="C59" s="927"/>
      <c r="D59" s="928" t="s">
        <v>119</v>
      </c>
      <c r="E59" s="928">
        <v>29</v>
      </c>
      <c r="F59" s="929">
        <v>2</v>
      </c>
      <c r="G59" s="930">
        <v>3.7</v>
      </c>
      <c r="H59" s="958">
        <v>3.8579856249985913</v>
      </c>
      <c r="I59" s="959">
        <v>2.056975</v>
      </c>
      <c r="J59" s="959">
        <v>49.003617083333339</v>
      </c>
      <c r="K59" s="959">
        <v>0.2</v>
      </c>
      <c r="L59" s="944">
        <v>0</v>
      </c>
      <c r="M59" s="934">
        <v>9.0747958425229243</v>
      </c>
      <c r="N59" s="934">
        <v>4.5870922042189397</v>
      </c>
      <c r="O59" s="934">
        <v>10.338111953258133</v>
      </c>
      <c r="P59" s="934">
        <v>0</v>
      </c>
      <c r="Q59" s="934">
        <v>0.55788039859392347</v>
      </c>
      <c r="R59" s="935">
        <f t="shared" si="0"/>
        <v>6.2885137163109883</v>
      </c>
      <c r="S59" s="898">
        <f t="shared" si="1"/>
        <v>9.1148065639997036</v>
      </c>
      <c r="T59" s="898">
        <f t="shared" si="2"/>
        <v>6.8990503481872008</v>
      </c>
      <c r="U59" s="898">
        <f t="shared" si="3"/>
        <v>3.2236991094998344</v>
      </c>
      <c r="V59" s="898">
        <f t="shared" si="4"/>
        <v>1.1636991094998343</v>
      </c>
      <c r="W59" s="945">
        <f t="shared" si="5"/>
        <v>2.7833748361873272</v>
      </c>
      <c r="X59" s="656">
        <f t="shared" si="41"/>
        <v>1</v>
      </c>
      <c r="Y59" s="656">
        <f t="shared" si="41"/>
        <v>1</v>
      </c>
      <c r="Z59" s="656">
        <f t="shared" si="41"/>
        <v>0</v>
      </c>
      <c r="AA59" s="656">
        <f t="shared" si="41"/>
        <v>0</v>
      </c>
      <c r="AB59" s="946">
        <f t="shared" si="41"/>
        <v>0</v>
      </c>
      <c r="AC59" s="1108"/>
      <c r="AD59" s="1080" t="s">
        <v>129</v>
      </c>
      <c r="AE59" s="12">
        <f t="shared" si="38"/>
        <v>54</v>
      </c>
      <c r="AF59" s="949" t="s">
        <v>203</v>
      </c>
      <c r="AG59" s="698">
        <f t="shared" si="29"/>
        <v>6.0606060606060608E-2</v>
      </c>
      <c r="AH59" s="698">
        <f t="shared" si="30"/>
        <v>0.69696969696969702</v>
      </c>
      <c r="AI59" s="698">
        <f t="shared" si="31"/>
        <v>9.0909090909090912E-2</v>
      </c>
      <c r="AJ59" s="698">
        <f t="shared" si="32"/>
        <v>0</v>
      </c>
      <c r="AK59" s="710">
        <f t="shared" si="33"/>
        <v>0.15151515151515149</v>
      </c>
      <c r="AL59" s="891">
        <f t="shared" si="34"/>
        <v>0.2121212121212121</v>
      </c>
      <c r="AM59" s="698">
        <f t="shared" si="35"/>
        <v>0.69696969696969702</v>
      </c>
      <c r="AN59" s="698">
        <f t="shared" si="36"/>
        <v>9.0909090909090912E-2</v>
      </c>
      <c r="AO59" s="710">
        <f t="shared" si="37"/>
        <v>0</v>
      </c>
      <c r="AP59" s="885">
        <v>2</v>
      </c>
      <c r="AQ59" s="877">
        <v>0</v>
      </c>
      <c r="AR59" s="877">
        <v>0</v>
      </c>
      <c r="AS59" s="877">
        <f t="shared" si="20"/>
        <v>1</v>
      </c>
      <c r="AT59" s="886">
        <f t="shared" si="21"/>
        <v>0</v>
      </c>
      <c r="AU59" s="877">
        <f>(AL59*(1-$AU$3))+(AQ59*$AU$3)</f>
        <v>0.18454545454545451</v>
      </c>
      <c r="AV59" s="877">
        <f>(AM59*(1-$AU$3))+(AR59*$AU$3)</f>
        <v>0.60636363636363644</v>
      </c>
      <c r="AW59" s="877">
        <f>(AN59*(1-$AU$3))+(AS59*$AU$3)</f>
        <v>0.20909090909090911</v>
      </c>
      <c r="AX59" s="886">
        <f>(AO59*(1-$AU$3))+(AT59*$AU$3)</f>
        <v>0</v>
      </c>
      <c r="AY59" s="1119"/>
    </row>
    <row r="60" spans="1:51" ht="15">
      <c r="A60" s="1110"/>
      <c r="B60" s="957" t="s">
        <v>1308</v>
      </c>
      <c r="C60" s="927"/>
      <c r="D60" s="967" t="s">
        <v>1309</v>
      </c>
      <c r="E60" s="977" t="s">
        <v>283</v>
      </c>
      <c r="F60" s="929">
        <v>2</v>
      </c>
      <c r="G60" s="930">
        <v>5</v>
      </c>
      <c r="H60" s="958">
        <v>4.6431473583336036</v>
      </c>
      <c r="I60" s="959">
        <v>0.10409000000000336</v>
      </c>
      <c r="J60" s="959">
        <v>10.420516496526195</v>
      </c>
      <c r="K60" s="959">
        <v>9.0643200000000007E-2</v>
      </c>
      <c r="L60" s="944">
        <v>0</v>
      </c>
      <c r="M60" s="934">
        <v>9.0747958425229243</v>
      </c>
      <c r="N60" s="934">
        <v>4.5870922042189397</v>
      </c>
      <c r="O60" s="934">
        <v>10.338111953258133</v>
      </c>
      <c r="P60" s="934">
        <v>0</v>
      </c>
      <c r="Q60" s="934">
        <v>0.55788039859392347</v>
      </c>
      <c r="R60" s="935">
        <f t="shared" si="0"/>
        <v>1.1642736114938015</v>
      </c>
      <c r="S60" s="898">
        <f t="shared" si="1"/>
        <v>9.2806327220800569</v>
      </c>
      <c r="T60" s="898">
        <f t="shared" si="2"/>
        <v>7.0657401841742242</v>
      </c>
      <c r="U60" s="898">
        <f t="shared" si="3"/>
        <v>3.3160341293400317</v>
      </c>
      <c r="V60" s="898">
        <f t="shared" si="4"/>
        <v>1.2560341293400317</v>
      </c>
      <c r="W60" s="945">
        <f t="shared" si="5"/>
        <v>2.8797141808675333</v>
      </c>
      <c r="X60" s="656">
        <f t="shared" si="41"/>
        <v>1</v>
      </c>
      <c r="Y60" s="656">
        <f t="shared" si="41"/>
        <v>1</v>
      </c>
      <c r="Z60" s="656">
        <f t="shared" si="41"/>
        <v>1</v>
      </c>
      <c r="AA60" s="656">
        <f t="shared" si="41"/>
        <v>1</v>
      </c>
      <c r="AB60" s="946">
        <f t="shared" si="41"/>
        <v>1</v>
      </c>
      <c r="AC60" s="1108"/>
      <c r="AD60" s="1079" t="s">
        <v>130</v>
      </c>
      <c r="AE60" s="938">
        <f t="shared" si="38"/>
        <v>55</v>
      </c>
      <c r="AF60" s="947" t="s">
        <v>283</v>
      </c>
      <c r="AG60" s="708" t="str">
        <f t="shared" si="29"/>
        <v>-</v>
      </c>
      <c r="AH60" s="708" t="str">
        <f t="shared" si="30"/>
        <v>-</v>
      </c>
      <c r="AI60" s="708" t="str">
        <f t="shared" si="31"/>
        <v>-</v>
      </c>
      <c r="AJ60" s="708" t="str">
        <f t="shared" si="32"/>
        <v>-</v>
      </c>
      <c r="AK60" s="709">
        <f t="shared" si="33"/>
        <v>1</v>
      </c>
      <c r="AL60" s="941" t="str">
        <f t="shared" si="34"/>
        <v xml:space="preserve"> </v>
      </c>
      <c r="AM60" s="708" t="str">
        <f t="shared" si="35"/>
        <v xml:space="preserve"> </v>
      </c>
      <c r="AN60" s="708" t="str">
        <f t="shared" si="36"/>
        <v xml:space="preserve"> </v>
      </c>
      <c r="AO60" s="709" t="str">
        <f t="shared" si="37"/>
        <v xml:space="preserve"> </v>
      </c>
      <c r="AP60" s="948" t="s">
        <v>283</v>
      </c>
      <c r="AQ60" s="883"/>
      <c r="AR60" s="883"/>
      <c r="AS60" s="883" t="str">
        <f t="shared" si="20"/>
        <v xml:space="preserve"> </v>
      </c>
      <c r="AT60" s="884" t="str">
        <f t="shared" si="21"/>
        <v xml:space="preserve"> </v>
      </c>
      <c r="AU60" s="883"/>
      <c r="AV60" s="883"/>
      <c r="AW60" s="883" t="str">
        <f>IF(AX60=" "," ",1-AX60)</f>
        <v xml:space="preserve"> </v>
      </c>
      <c r="AX60" s="884" t="str">
        <f>IF(AS60=" "," ",AS60)</f>
        <v xml:space="preserve"> </v>
      </c>
      <c r="AY60" s="1119"/>
    </row>
    <row r="61" spans="1:51" ht="15">
      <c r="A61" s="1110"/>
      <c r="B61" s="926">
        <v>140</v>
      </c>
      <c r="C61" s="927"/>
      <c r="D61" s="978" t="s">
        <v>1310</v>
      </c>
      <c r="E61" s="979" t="s">
        <v>283</v>
      </c>
      <c r="F61" s="929">
        <v>2</v>
      </c>
      <c r="G61" s="930">
        <v>3.6</v>
      </c>
      <c r="H61" s="942">
        <v>7.2633729999999996</v>
      </c>
      <c r="I61" s="943">
        <v>0.44845166666666603</v>
      </c>
      <c r="J61" s="943">
        <v>26.245071111111098</v>
      </c>
      <c r="K61" s="943">
        <v>0.31751100000000004</v>
      </c>
      <c r="L61" s="944">
        <v>0</v>
      </c>
      <c r="M61" s="934">
        <v>9.0747958425229243</v>
      </c>
      <c r="N61" s="934">
        <v>4.5870922042189397</v>
      </c>
      <c r="O61" s="934">
        <v>10.338111953258133</v>
      </c>
      <c r="P61" s="934">
        <v>0</v>
      </c>
      <c r="Q61" s="934">
        <v>0.55788039859392347</v>
      </c>
      <c r="R61" s="935">
        <f t="shared" si="0"/>
        <v>3.6905877781188612</v>
      </c>
      <c r="S61" s="898">
        <f t="shared" si="1"/>
        <v>9.8340243776000005</v>
      </c>
      <c r="T61" s="898">
        <f t="shared" si="2"/>
        <v>7.6220140879000002</v>
      </c>
      <c r="U61" s="898">
        <f t="shared" si="3"/>
        <v>3.6241726648000001</v>
      </c>
      <c r="V61" s="898">
        <f t="shared" si="4"/>
        <v>1.5641726648000001</v>
      </c>
      <c r="W61" s="945">
        <f t="shared" si="5"/>
        <v>3.2012158671000002</v>
      </c>
      <c r="X61" s="656">
        <f t="shared" si="41"/>
        <v>1</v>
      </c>
      <c r="Y61" s="656">
        <f t="shared" si="41"/>
        <v>1</v>
      </c>
      <c r="Z61" s="656">
        <f t="shared" si="41"/>
        <v>0</v>
      </c>
      <c r="AA61" s="656">
        <f t="shared" si="41"/>
        <v>0</v>
      </c>
      <c r="AB61" s="946">
        <f t="shared" si="41"/>
        <v>0</v>
      </c>
      <c r="AC61" s="1108"/>
      <c r="AD61" s="1079" t="s">
        <v>132</v>
      </c>
      <c r="AE61" s="938">
        <f t="shared" si="38"/>
        <v>56</v>
      </c>
      <c r="AF61" s="947" t="s">
        <v>283</v>
      </c>
      <c r="AG61" s="708" t="str">
        <f t="shared" si="29"/>
        <v>-</v>
      </c>
      <c r="AH61" s="708" t="str">
        <f t="shared" si="30"/>
        <v>-</v>
      </c>
      <c r="AI61" s="708" t="str">
        <f t="shared" si="31"/>
        <v>-</v>
      </c>
      <c r="AJ61" s="708" t="str">
        <f t="shared" si="32"/>
        <v>-</v>
      </c>
      <c r="AK61" s="709">
        <f t="shared" si="33"/>
        <v>1</v>
      </c>
      <c r="AL61" s="941" t="str">
        <f t="shared" si="34"/>
        <v xml:space="preserve"> </v>
      </c>
      <c r="AM61" s="708" t="str">
        <f t="shared" si="35"/>
        <v xml:space="preserve"> </v>
      </c>
      <c r="AN61" s="708" t="str">
        <f t="shared" si="36"/>
        <v xml:space="preserve"> </v>
      </c>
      <c r="AO61" s="709" t="str">
        <f t="shared" si="37"/>
        <v xml:space="preserve"> </v>
      </c>
      <c r="AP61" s="948" t="s">
        <v>283</v>
      </c>
      <c r="AQ61" s="883"/>
      <c r="AR61" s="883"/>
      <c r="AS61" s="883" t="str">
        <f t="shared" si="20"/>
        <v xml:space="preserve"> </v>
      </c>
      <c r="AT61" s="884" t="str">
        <f t="shared" si="21"/>
        <v xml:space="preserve"> </v>
      </c>
      <c r="AU61" s="883"/>
      <c r="AV61" s="883"/>
      <c r="AW61" s="883" t="str">
        <f>IF(AX61=" "," ",1-AX61)</f>
        <v xml:space="preserve"> </v>
      </c>
      <c r="AX61" s="884" t="str">
        <f>IF(AS61=" "," ",AS61)</f>
        <v xml:space="preserve"> </v>
      </c>
      <c r="AY61" s="1119"/>
    </row>
    <row r="62" spans="1:51" ht="15">
      <c r="A62" s="1109"/>
      <c r="B62" s="963" t="s">
        <v>1311</v>
      </c>
      <c r="C62" s="927"/>
      <c r="D62" s="980" t="s">
        <v>1312</v>
      </c>
      <c r="E62" s="980">
        <v>38</v>
      </c>
      <c r="F62" s="929">
        <v>2</v>
      </c>
      <c r="G62" s="930">
        <v>3.7</v>
      </c>
      <c r="H62" s="958">
        <v>3.3834605333336474</v>
      </c>
      <c r="I62" s="959">
        <v>0.2195999999999998</v>
      </c>
      <c r="J62" s="959">
        <v>11.027279999999996</v>
      </c>
      <c r="K62" s="959">
        <v>0.219</v>
      </c>
      <c r="L62" s="944">
        <v>0</v>
      </c>
      <c r="M62" s="934">
        <v>9.0747958425229243</v>
      </c>
      <c r="N62" s="934">
        <v>4.5870922042189397</v>
      </c>
      <c r="O62" s="934">
        <v>10.338111953258133</v>
      </c>
      <c r="P62" s="934">
        <v>0</v>
      </c>
      <c r="Q62" s="934">
        <v>0.55788039859392347</v>
      </c>
      <c r="R62" s="935">
        <f t="shared" si="0"/>
        <v>1.5773411336102798</v>
      </c>
      <c r="S62" s="898">
        <f t="shared" si="1"/>
        <v>9.0145868646400675</v>
      </c>
      <c r="T62" s="898">
        <f t="shared" si="2"/>
        <v>6.7983086712267333</v>
      </c>
      <c r="U62" s="898">
        <f t="shared" si="3"/>
        <v>3.1678949587200371</v>
      </c>
      <c r="V62" s="898">
        <f t="shared" si="4"/>
        <v>1.1078949587200368</v>
      </c>
      <c r="W62" s="945">
        <f t="shared" si="5"/>
        <v>2.7251506074400385</v>
      </c>
      <c r="X62" s="656">
        <f t="shared" si="41"/>
        <v>1</v>
      </c>
      <c r="Y62" s="656">
        <f t="shared" si="41"/>
        <v>1</v>
      </c>
      <c r="Z62" s="656">
        <f t="shared" si="41"/>
        <v>1</v>
      </c>
      <c r="AA62" s="656">
        <f t="shared" si="41"/>
        <v>0</v>
      </c>
      <c r="AB62" s="946">
        <f t="shared" si="41"/>
        <v>1</v>
      </c>
      <c r="AC62" s="1108"/>
      <c r="AD62" s="1080" t="s">
        <v>231</v>
      </c>
      <c r="AE62" s="12">
        <f t="shared" si="38"/>
        <v>57</v>
      </c>
      <c r="AF62" s="949" t="s">
        <v>140</v>
      </c>
      <c r="AG62" s="698">
        <f t="shared" si="29"/>
        <v>0.38461538461538464</v>
      </c>
      <c r="AH62" s="698">
        <f t="shared" si="30"/>
        <v>0.5</v>
      </c>
      <c r="AI62" s="698">
        <f t="shared" si="31"/>
        <v>3.8461538461538464E-2</v>
      </c>
      <c r="AJ62" s="698">
        <f t="shared" si="32"/>
        <v>0</v>
      </c>
      <c r="AK62" s="710">
        <f t="shared" si="33"/>
        <v>7.6923076923076983E-2</v>
      </c>
      <c r="AL62" s="891">
        <f t="shared" si="34"/>
        <v>0.46153846153846162</v>
      </c>
      <c r="AM62" s="698">
        <f t="shared" si="35"/>
        <v>0.5</v>
      </c>
      <c r="AN62" s="698">
        <f t="shared" si="36"/>
        <v>3.8461538461538464E-2</v>
      </c>
      <c r="AO62" s="710">
        <f t="shared" si="37"/>
        <v>0</v>
      </c>
      <c r="AP62" s="885">
        <v>2</v>
      </c>
      <c r="AQ62" s="877">
        <v>0</v>
      </c>
      <c r="AR62" s="877">
        <v>0</v>
      </c>
      <c r="AS62" s="877">
        <f t="shared" si="20"/>
        <v>1</v>
      </c>
      <c r="AT62" s="886">
        <f t="shared" si="21"/>
        <v>0</v>
      </c>
      <c r="AU62" s="877">
        <f t="shared" ref="AU62:AU73" si="42">(AL62*(1-$AU$3))+(AQ62*$AU$3)</f>
        <v>0.40153846153846162</v>
      </c>
      <c r="AV62" s="877">
        <f t="shared" ref="AV62:AV73" si="43">(AM62*(1-$AU$3))+(AR62*$AU$3)</f>
        <v>0.435</v>
      </c>
      <c r="AW62" s="877">
        <f t="shared" ref="AW62:AW73" si="44">(AN62*(1-$AU$3))+(AS62*$AU$3)</f>
        <v>0.16346153846153846</v>
      </c>
      <c r="AX62" s="886">
        <f t="shared" ref="AX62:AX73" si="45">(AO62*(1-$AU$3))+(AT62*$AU$3)</f>
        <v>0</v>
      </c>
      <c r="AY62" s="1119"/>
    </row>
    <row r="63" spans="1:51" ht="15">
      <c r="A63" s="1109"/>
      <c r="B63" s="963" t="s">
        <v>1313</v>
      </c>
      <c r="C63" s="927"/>
      <c r="D63" s="980" t="s">
        <v>1312</v>
      </c>
      <c r="E63" s="980">
        <v>38</v>
      </c>
      <c r="F63" s="929">
        <v>2</v>
      </c>
      <c r="G63" s="930">
        <v>3.7</v>
      </c>
      <c r="H63" s="958">
        <v>2.9513806694443874</v>
      </c>
      <c r="I63" s="959">
        <v>0.12640000000000029</v>
      </c>
      <c r="J63" s="959">
        <v>9.3322333333333383</v>
      </c>
      <c r="K63" s="943">
        <v>0.108</v>
      </c>
      <c r="L63" s="944">
        <v>0</v>
      </c>
      <c r="M63" s="934">
        <v>9.0747958425229243</v>
      </c>
      <c r="N63" s="934">
        <v>4.5870922042189397</v>
      </c>
      <c r="O63" s="934">
        <v>10.338111953258133</v>
      </c>
      <c r="P63" s="934">
        <v>0</v>
      </c>
      <c r="Q63" s="934">
        <v>0.55788039859392347</v>
      </c>
      <c r="R63" s="935">
        <f t="shared" si="0"/>
        <v>1.2810867830495509</v>
      </c>
      <c r="S63" s="898">
        <f t="shared" si="1"/>
        <v>8.9233315973866549</v>
      </c>
      <c r="T63" s="898">
        <f t="shared" si="2"/>
        <v>6.7065781161230431</v>
      </c>
      <c r="U63" s="898">
        <f t="shared" si="3"/>
        <v>3.1170823667266601</v>
      </c>
      <c r="V63" s="898">
        <f t="shared" si="4"/>
        <v>1.05708236672666</v>
      </c>
      <c r="W63" s="945">
        <f t="shared" si="5"/>
        <v>2.6721344081408263</v>
      </c>
      <c r="X63" s="656">
        <f t="shared" si="41"/>
        <v>1</v>
      </c>
      <c r="Y63" s="656">
        <f t="shared" si="41"/>
        <v>1</v>
      </c>
      <c r="Z63" s="656">
        <f t="shared" si="41"/>
        <v>1</v>
      </c>
      <c r="AA63" s="656">
        <f t="shared" si="41"/>
        <v>0</v>
      </c>
      <c r="AB63" s="946">
        <f t="shared" si="41"/>
        <v>1</v>
      </c>
      <c r="AC63" s="1108"/>
      <c r="AD63" s="1080" t="s">
        <v>135</v>
      </c>
      <c r="AE63" s="12">
        <f t="shared" si="38"/>
        <v>58</v>
      </c>
      <c r="AF63" s="949" t="s">
        <v>135</v>
      </c>
      <c r="AG63" s="698">
        <f t="shared" si="29"/>
        <v>0.1111111111111111</v>
      </c>
      <c r="AH63" s="698">
        <f t="shared" si="30"/>
        <v>0.44444444444444442</v>
      </c>
      <c r="AI63" s="698">
        <f t="shared" si="31"/>
        <v>0.27777777777777779</v>
      </c>
      <c r="AJ63" s="698">
        <f t="shared" si="32"/>
        <v>0</v>
      </c>
      <c r="AK63" s="710">
        <f t="shared" si="33"/>
        <v>0.16666666666666663</v>
      </c>
      <c r="AL63" s="891">
        <f t="shared" si="34"/>
        <v>0.27777777777777773</v>
      </c>
      <c r="AM63" s="698">
        <f t="shared" si="35"/>
        <v>0.44444444444444442</v>
      </c>
      <c r="AN63" s="698">
        <f t="shared" si="36"/>
        <v>0.27777777777777779</v>
      </c>
      <c r="AO63" s="710">
        <f t="shared" si="37"/>
        <v>0</v>
      </c>
      <c r="AP63" s="885">
        <v>2</v>
      </c>
      <c r="AQ63" s="877">
        <v>0</v>
      </c>
      <c r="AR63" s="877">
        <v>0</v>
      </c>
      <c r="AS63" s="877">
        <f t="shared" si="20"/>
        <v>1</v>
      </c>
      <c r="AT63" s="886">
        <f t="shared" si="21"/>
        <v>0</v>
      </c>
      <c r="AU63" s="877">
        <f t="shared" si="42"/>
        <v>0.24166666666666664</v>
      </c>
      <c r="AV63" s="877">
        <f t="shared" si="43"/>
        <v>0.38666666666666666</v>
      </c>
      <c r="AW63" s="877">
        <f t="shared" si="44"/>
        <v>0.3716666666666667</v>
      </c>
      <c r="AX63" s="886">
        <f t="shared" si="45"/>
        <v>0</v>
      </c>
      <c r="AY63" s="1119"/>
    </row>
    <row r="64" spans="1:51" ht="15">
      <c r="A64" s="1109"/>
      <c r="B64" s="926">
        <v>137</v>
      </c>
      <c r="C64" s="927"/>
      <c r="D64" s="978" t="s">
        <v>1314</v>
      </c>
      <c r="E64" s="981">
        <v>37</v>
      </c>
      <c r="F64" s="929">
        <v>2</v>
      </c>
      <c r="G64" s="930">
        <v>3.7</v>
      </c>
      <c r="H64" s="942">
        <v>1.6771720000000001</v>
      </c>
      <c r="I64" s="943">
        <v>2.1565005555555499</v>
      </c>
      <c r="J64" s="943">
        <v>54.481335833333297</v>
      </c>
      <c r="K64" s="943">
        <v>2.1781260000000002</v>
      </c>
      <c r="L64" s="944">
        <v>0</v>
      </c>
      <c r="M64" s="934">
        <v>9.0747958425229243</v>
      </c>
      <c r="N64" s="934">
        <v>4.5870922042189397</v>
      </c>
      <c r="O64" s="934">
        <v>10.338111953258133</v>
      </c>
      <c r="P64" s="934">
        <v>0</v>
      </c>
      <c r="Q64" s="934">
        <v>0.55788039859392347</v>
      </c>
      <c r="R64" s="935">
        <f t="shared" si="0"/>
        <v>11.003220536516732</v>
      </c>
      <c r="S64" s="898">
        <f t="shared" si="1"/>
        <v>8.6542187263999999</v>
      </c>
      <c r="T64" s="898">
        <f t="shared" si="2"/>
        <v>6.4360636156000002</v>
      </c>
      <c r="U64" s="898">
        <f t="shared" si="3"/>
        <v>2.9672354271999999</v>
      </c>
      <c r="V64" s="898">
        <f t="shared" si="4"/>
        <v>0.90723542719999994</v>
      </c>
      <c r="W64" s="945">
        <f t="shared" si="5"/>
        <v>2.5157890044000002</v>
      </c>
      <c r="X64" s="656">
        <f t="shared" si="41"/>
        <v>0</v>
      </c>
      <c r="Y64" s="656">
        <f t="shared" si="41"/>
        <v>0</v>
      </c>
      <c r="Z64" s="656">
        <f t="shared" si="41"/>
        <v>0</v>
      </c>
      <c r="AA64" s="656">
        <f t="shared" si="41"/>
        <v>0</v>
      </c>
      <c r="AB64" s="946">
        <f t="shared" si="41"/>
        <v>0</v>
      </c>
      <c r="AC64" s="1108"/>
      <c r="AD64" s="1080" t="s">
        <v>812</v>
      </c>
      <c r="AE64" s="12">
        <f t="shared" si="38"/>
        <v>59</v>
      </c>
      <c r="AF64" s="949" t="s">
        <v>204</v>
      </c>
      <c r="AG64" s="698">
        <f t="shared" si="29"/>
        <v>0.22448979591836735</v>
      </c>
      <c r="AH64" s="698">
        <f t="shared" si="30"/>
        <v>0.53061224489795922</v>
      </c>
      <c r="AI64" s="698">
        <f t="shared" si="31"/>
        <v>0.22448979591836735</v>
      </c>
      <c r="AJ64" s="698">
        <f t="shared" si="32"/>
        <v>0</v>
      </c>
      <c r="AK64" s="710">
        <f t="shared" si="33"/>
        <v>2.0408163265306034E-2</v>
      </c>
      <c r="AL64" s="891">
        <f t="shared" si="34"/>
        <v>0.24489795918367338</v>
      </c>
      <c r="AM64" s="698">
        <f t="shared" si="35"/>
        <v>0.53061224489795922</v>
      </c>
      <c r="AN64" s="698">
        <f t="shared" si="36"/>
        <v>0.22448979591836735</v>
      </c>
      <c r="AO64" s="710">
        <f t="shared" si="37"/>
        <v>0</v>
      </c>
      <c r="AP64" s="885">
        <v>2</v>
      </c>
      <c r="AQ64" s="877">
        <v>0</v>
      </c>
      <c r="AR64" s="877">
        <v>0</v>
      </c>
      <c r="AS64" s="877">
        <f t="shared" si="20"/>
        <v>1</v>
      </c>
      <c r="AT64" s="886">
        <f t="shared" si="21"/>
        <v>0</v>
      </c>
      <c r="AU64" s="877">
        <f t="shared" si="42"/>
        <v>0.21306122448979584</v>
      </c>
      <c r="AV64" s="877">
        <f t="shared" si="43"/>
        <v>0.46163265306122453</v>
      </c>
      <c r="AW64" s="877">
        <f t="shared" si="44"/>
        <v>0.32530612244897961</v>
      </c>
      <c r="AX64" s="886">
        <f t="shared" si="45"/>
        <v>0</v>
      </c>
      <c r="AY64" s="1119"/>
    </row>
    <row r="65" spans="1:51" ht="15">
      <c r="A65" s="1108"/>
      <c r="B65" s="961">
        <v>28</v>
      </c>
      <c r="C65" s="927"/>
      <c r="D65" s="928" t="s">
        <v>1315</v>
      </c>
      <c r="E65" s="928">
        <v>57</v>
      </c>
      <c r="F65" s="929">
        <v>2</v>
      </c>
      <c r="G65" s="930">
        <v>2.4</v>
      </c>
      <c r="H65" s="942">
        <v>1.7141479999999998</v>
      </c>
      <c r="I65" s="943">
        <v>4.8353210000000004</v>
      </c>
      <c r="J65" s="943">
        <v>115.477653</v>
      </c>
      <c r="K65" s="943">
        <v>3.6220320000000004</v>
      </c>
      <c r="L65" s="944">
        <v>0</v>
      </c>
      <c r="M65" s="934">
        <v>9.0747958425229243</v>
      </c>
      <c r="N65" s="934">
        <v>4.5870922042189397</v>
      </c>
      <c r="O65" s="934">
        <v>10.338111953258133</v>
      </c>
      <c r="P65" s="934">
        <v>0</v>
      </c>
      <c r="Q65" s="934">
        <v>0.55788039859392347</v>
      </c>
      <c r="R65" s="935">
        <f t="shared" si="0"/>
        <v>21.615240070689236</v>
      </c>
      <c r="S65" s="898">
        <f t="shared" si="1"/>
        <v>8.6620280576000006</v>
      </c>
      <c r="T65" s="898">
        <f t="shared" si="2"/>
        <v>6.4439136204</v>
      </c>
      <c r="U65" s="898">
        <f t="shared" si="3"/>
        <v>2.9715838047999998</v>
      </c>
      <c r="V65" s="898">
        <f t="shared" si="4"/>
        <v>0.9115838047999999</v>
      </c>
      <c r="W65" s="945">
        <f t="shared" si="5"/>
        <v>2.5203259596000001</v>
      </c>
      <c r="X65" s="656">
        <f t="shared" si="41"/>
        <v>0</v>
      </c>
      <c r="Y65" s="656">
        <f t="shared" si="41"/>
        <v>0</v>
      </c>
      <c r="Z65" s="656">
        <f t="shared" si="41"/>
        <v>0</v>
      </c>
      <c r="AA65" s="656">
        <f t="shared" si="41"/>
        <v>0</v>
      </c>
      <c r="AB65" s="946">
        <f t="shared" si="41"/>
        <v>0</v>
      </c>
      <c r="AC65" s="1108"/>
      <c r="AD65" s="1080" t="s">
        <v>232</v>
      </c>
      <c r="AE65" s="12">
        <f t="shared" si="38"/>
        <v>60</v>
      </c>
      <c r="AF65" s="949" t="s">
        <v>232</v>
      </c>
      <c r="AG65" s="698">
        <f t="shared" si="29"/>
        <v>0.1111111111111111</v>
      </c>
      <c r="AH65" s="698">
        <f t="shared" si="30"/>
        <v>0.66666666666666663</v>
      </c>
      <c r="AI65" s="698">
        <f t="shared" si="31"/>
        <v>0.22222222222222221</v>
      </c>
      <c r="AJ65" s="698">
        <f t="shared" si="32"/>
        <v>0</v>
      </c>
      <c r="AK65" s="710">
        <f t="shared" si="33"/>
        <v>0</v>
      </c>
      <c r="AL65" s="891">
        <f t="shared" si="34"/>
        <v>0.1111111111111111</v>
      </c>
      <c r="AM65" s="698">
        <f t="shared" si="35"/>
        <v>0.66666666666666663</v>
      </c>
      <c r="AN65" s="698">
        <f t="shared" si="36"/>
        <v>0.22222222222222221</v>
      </c>
      <c r="AO65" s="710">
        <f t="shared" si="37"/>
        <v>0</v>
      </c>
      <c r="AP65" s="885">
        <v>3</v>
      </c>
      <c r="AQ65" s="877">
        <v>0</v>
      </c>
      <c r="AR65" s="877">
        <v>0</v>
      </c>
      <c r="AS65" s="877">
        <f t="shared" si="20"/>
        <v>0</v>
      </c>
      <c r="AT65" s="886">
        <v>1</v>
      </c>
      <c r="AU65" s="877">
        <f t="shared" si="42"/>
        <v>9.6666666666666665E-2</v>
      </c>
      <c r="AV65" s="877">
        <f t="shared" si="43"/>
        <v>0.57999999999999996</v>
      </c>
      <c r="AW65" s="877">
        <f t="shared" si="44"/>
        <v>0.19333333333333333</v>
      </c>
      <c r="AX65" s="886">
        <f t="shared" si="45"/>
        <v>0.13</v>
      </c>
      <c r="AY65" s="1119"/>
    </row>
    <row r="66" spans="1:51" ht="15">
      <c r="A66" s="1108"/>
      <c r="B66" s="961">
        <v>29</v>
      </c>
      <c r="C66" s="927"/>
      <c r="D66" s="928" t="s">
        <v>1315</v>
      </c>
      <c r="E66" s="928">
        <v>57</v>
      </c>
      <c r="F66" s="929">
        <v>2</v>
      </c>
      <c r="G66" s="930">
        <v>2.4</v>
      </c>
      <c r="H66" s="942">
        <v>0.41162799999999999</v>
      </c>
      <c r="I66" s="943">
        <v>3.9791145000000001</v>
      </c>
      <c r="J66" s="943">
        <v>95.403451000000004</v>
      </c>
      <c r="K66" s="943">
        <v>0</v>
      </c>
      <c r="L66" s="944">
        <v>0</v>
      </c>
      <c r="M66" s="934">
        <v>9.0747958425229243</v>
      </c>
      <c r="N66" s="934">
        <v>4.5870922042189397</v>
      </c>
      <c r="O66" s="934">
        <v>10.338111953258133</v>
      </c>
      <c r="P66" s="934">
        <v>0</v>
      </c>
      <c r="Q66" s="934">
        <v>0.55788039859392347</v>
      </c>
      <c r="R66" s="935">
        <f t="shared" si="0"/>
        <v>13.076799593169893</v>
      </c>
      <c r="S66" s="898">
        <f t="shared" si="1"/>
        <v>8.3869358336000008</v>
      </c>
      <c r="T66" s="898">
        <f t="shared" si="2"/>
        <v>6.1673886244</v>
      </c>
      <c r="U66" s="898">
        <f t="shared" si="3"/>
        <v>2.8184074527999998</v>
      </c>
      <c r="V66" s="898">
        <f t="shared" si="4"/>
        <v>0.75840745279999999</v>
      </c>
      <c r="W66" s="945">
        <f t="shared" si="5"/>
        <v>2.3605067555999999</v>
      </c>
      <c r="X66" s="656">
        <f t="shared" si="41"/>
        <v>0</v>
      </c>
      <c r="Y66" s="656">
        <f t="shared" si="41"/>
        <v>0</v>
      </c>
      <c r="Z66" s="656">
        <f t="shared" si="41"/>
        <v>0</v>
      </c>
      <c r="AA66" s="656">
        <f t="shared" si="41"/>
        <v>0</v>
      </c>
      <c r="AB66" s="946">
        <f t="shared" si="41"/>
        <v>0</v>
      </c>
      <c r="AC66" s="1108"/>
      <c r="AD66" s="1080" t="s">
        <v>138</v>
      </c>
      <c r="AE66" s="12">
        <f t="shared" si="38"/>
        <v>61</v>
      </c>
      <c r="AF66" s="949" t="s">
        <v>138</v>
      </c>
      <c r="AG66" s="698">
        <f t="shared" si="29"/>
        <v>0.66666666666666663</v>
      </c>
      <c r="AH66" s="698">
        <f t="shared" si="30"/>
        <v>0.1111111111111111</v>
      </c>
      <c r="AI66" s="698">
        <f t="shared" si="31"/>
        <v>0.1111111111111111</v>
      </c>
      <c r="AJ66" s="698">
        <f t="shared" si="32"/>
        <v>0</v>
      </c>
      <c r="AK66" s="710">
        <f t="shared" si="33"/>
        <v>0.11111111111111116</v>
      </c>
      <c r="AL66" s="891">
        <f t="shared" si="34"/>
        <v>0.77777777777777779</v>
      </c>
      <c r="AM66" s="698">
        <f t="shared" si="35"/>
        <v>0.1111111111111111</v>
      </c>
      <c r="AN66" s="698">
        <f t="shared" si="36"/>
        <v>0.1111111111111111</v>
      </c>
      <c r="AO66" s="710">
        <f t="shared" si="37"/>
        <v>0</v>
      </c>
      <c r="AP66" s="885">
        <v>0</v>
      </c>
      <c r="AQ66" s="877">
        <f t="shared" ref="AQ66:AT67" si="46">AL66</f>
        <v>0.77777777777777779</v>
      </c>
      <c r="AR66" s="877">
        <f t="shared" si="46"/>
        <v>0.1111111111111111</v>
      </c>
      <c r="AS66" s="877">
        <f t="shared" si="46"/>
        <v>0.1111111111111111</v>
      </c>
      <c r="AT66" s="886">
        <f t="shared" si="46"/>
        <v>0</v>
      </c>
      <c r="AU66" s="877">
        <f t="shared" si="42"/>
        <v>0.77777777777777779</v>
      </c>
      <c r="AV66" s="877">
        <f t="shared" si="43"/>
        <v>0.1111111111111111</v>
      </c>
      <c r="AW66" s="877">
        <f t="shared" si="44"/>
        <v>0.1111111111111111</v>
      </c>
      <c r="AX66" s="886">
        <f t="shared" si="45"/>
        <v>0</v>
      </c>
      <c r="AY66" s="1119"/>
    </row>
    <row r="67" spans="1:51" ht="15">
      <c r="A67" s="1108"/>
      <c r="B67" s="961">
        <v>11</v>
      </c>
      <c r="C67" s="927"/>
      <c r="D67" s="928" t="s">
        <v>135</v>
      </c>
      <c r="E67" s="928">
        <v>58</v>
      </c>
      <c r="F67" s="929">
        <v>2</v>
      </c>
      <c r="G67" s="930">
        <v>2.4</v>
      </c>
      <c r="H67" s="942">
        <v>1.8621780000000001</v>
      </c>
      <c r="I67" s="943">
        <v>0.379888</v>
      </c>
      <c r="J67" s="943">
        <v>13.222670000000001</v>
      </c>
      <c r="K67" s="943">
        <v>0.16076039999999997</v>
      </c>
      <c r="L67" s="944">
        <v>0</v>
      </c>
      <c r="M67" s="934">
        <v>9.0747958425229243</v>
      </c>
      <c r="N67" s="934">
        <v>4.5870922042189397</v>
      </c>
      <c r="O67" s="934">
        <v>10.338111953258133</v>
      </c>
      <c r="P67" s="934">
        <v>0</v>
      </c>
      <c r="Q67" s="934">
        <v>0.55788039859392347</v>
      </c>
      <c r="R67" s="935">
        <f t="shared" si="0"/>
        <v>1.9842330651922255</v>
      </c>
      <c r="S67" s="898">
        <f t="shared" si="1"/>
        <v>8.6932919936000008</v>
      </c>
      <c r="T67" s="898">
        <f t="shared" si="2"/>
        <v>6.4753403894000003</v>
      </c>
      <c r="U67" s="898">
        <f t="shared" si="3"/>
        <v>2.9889921328</v>
      </c>
      <c r="V67" s="898">
        <f t="shared" si="4"/>
        <v>0.92899213279999993</v>
      </c>
      <c r="W67" s="945">
        <f t="shared" si="5"/>
        <v>2.5384892406000001</v>
      </c>
      <c r="X67" s="656">
        <f t="shared" si="41"/>
        <v>1</v>
      </c>
      <c r="Y67" s="656">
        <f t="shared" si="41"/>
        <v>1</v>
      </c>
      <c r="Z67" s="656">
        <f t="shared" si="41"/>
        <v>1</v>
      </c>
      <c r="AA67" s="656">
        <f t="shared" si="41"/>
        <v>0</v>
      </c>
      <c r="AB67" s="946">
        <f t="shared" si="41"/>
        <v>1</v>
      </c>
      <c r="AC67" s="1108"/>
      <c r="AD67" s="1080" t="s">
        <v>848</v>
      </c>
      <c r="AE67" s="12">
        <f t="shared" si="38"/>
        <v>62</v>
      </c>
      <c r="AF67" s="949" t="s">
        <v>138</v>
      </c>
      <c r="AG67" s="698">
        <f t="shared" si="29"/>
        <v>0.66666666666666663</v>
      </c>
      <c r="AH67" s="698">
        <f t="shared" si="30"/>
        <v>0.1111111111111111</v>
      </c>
      <c r="AI67" s="698">
        <f t="shared" si="31"/>
        <v>0.1111111111111111</v>
      </c>
      <c r="AJ67" s="698">
        <f t="shared" si="32"/>
        <v>0</v>
      </c>
      <c r="AK67" s="710">
        <f t="shared" si="33"/>
        <v>0.11111111111111116</v>
      </c>
      <c r="AL67" s="891">
        <f t="shared" si="34"/>
        <v>0.77777777777777779</v>
      </c>
      <c r="AM67" s="698">
        <f t="shared" si="35"/>
        <v>0.1111111111111111</v>
      </c>
      <c r="AN67" s="698">
        <f t="shared" si="36"/>
        <v>0.1111111111111111</v>
      </c>
      <c r="AO67" s="710">
        <f t="shared" si="37"/>
        <v>0</v>
      </c>
      <c r="AP67" s="885">
        <v>0</v>
      </c>
      <c r="AQ67" s="877">
        <f t="shared" si="46"/>
        <v>0.77777777777777779</v>
      </c>
      <c r="AR67" s="877">
        <f t="shared" si="46"/>
        <v>0.1111111111111111</v>
      </c>
      <c r="AS67" s="877">
        <f t="shared" si="46"/>
        <v>0.1111111111111111</v>
      </c>
      <c r="AT67" s="886">
        <f t="shared" si="46"/>
        <v>0</v>
      </c>
      <c r="AU67" s="877">
        <f t="shared" si="42"/>
        <v>0.77777777777777779</v>
      </c>
      <c r="AV67" s="877">
        <f t="shared" si="43"/>
        <v>0.1111111111111111</v>
      </c>
      <c r="AW67" s="877">
        <f t="shared" si="44"/>
        <v>0.1111111111111111</v>
      </c>
      <c r="AX67" s="886">
        <f t="shared" si="45"/>
        <v>0</v>
      </c>
      <c r="AY67" s="1119"/>
    </row>
    <row r="68" spans="1:51" ht="15">
      <c r="A68" s="1108"/>
      <c r="B68" s="961">
        <v>12</v>
      </c>
      <c r="C68" s="927"/>
      <c r="D68" s="928" t="s">
        <v>135</v>
      </c>
      <c r="E68" s="928">
        <v>58</v>
      </c>
      <c r="F68" s="929">
        <v>2</v>
      </c>
      <c r="G68" s="930">
        <v>2.4</v>
      </c>
      <c r="H68" s="942">
        <v>4.7503166999999999</v>
      </c>
      <c r="I68" s="943">
        <v>0.38794119999999999</v>
      </c>
      <c r="J68" s="943">
        <v>23.016967000000001</v>
      </c>
      <c r="K68" s="943">
        <v>0.16076039999999997</v>
      </c>
      <c r="L68" s="944">
        <v>0</v>
      </c>
      <c r="M68" s="934">
        <v>9.0747958425229243</v>
      </c>
      <c r="N68" s="934">
        <v>4.5870922042189397</v>
      </c>
      <c r="O68" s="934">
        <v>10.338111953258133</v>
      </c>
      <c r="P68" s="934">
        <v>0</v>
      </c>
      <c r="Q68" s="934">
        <v>0.55788039859392347</v>
      </c>
      <c r="R68" s="935">
        <f t="shared" si="0"/>
        <v>3.3778272109688907</v>
      </c>
      <c r="S68" s="898">
        <f t="shared" si="1"/>
        <v>9.3032668870400013</v>
      </c>
      <c r="T68" s="898">
        <f t="shared" si="2"/>
        <v>7.0884922354099995</v>
      </c>
      <c r="U68" s="898">
        <f t="shared" si="3"/>
        <v>3.3286372439200003</v>
      </c>
      <c r="V68" s="898">
        <f t="shared" si="4"/>
        <v>1.26863724392</v>
      </c>
      <c r="W68" s="945">
        <f t="shared" si="5"/>
        <v>2.8928638590900002</v>
      </c>
      <c r="X68" s="656">
        <f t="shared" si="41"/>
        <v>1</v>
      </c>
      <c r="Y68" s="656">
        <f t="shared" si="41"/>
        <v>1</v>
      </c>
      <c r="Z68" s="656">
        <f t="shared" si="41"/>
        <v>0</v>
      </c>
      <c r="AA68" s="656">
        <f t="shared" si="41"/>
        <v>0</v>
      </c>
      <c r="AB68" s="946">
        <f t="shared" si="41"/>
        <v>0</v>
      </c>
      <c r="AC68" s="1108"/>
      <c r="AD68" s="1080" t="s">
        <v>381</v>
      </c>
      <c r="AE68" s="12">
        <f t="shared" si="38"/>
        <v>63</v>
      </c>
      <c r="AF68" s="949" t="s">
        <v>236</v>
      </c>
      <c r="AG68" s="698">
        <f t="shared" si="29"/>
        <v>0.13235294117647059</v>
      </c>
      <c r="AH68" s="698">
        <f t="shared" si="30"/>
        <v>0.23529411764705882</v>
      </c>
      <c r="AI68" s="698">
        <f t="shared" si="31"/>
        <v>0.33823529411764708</v>
      </c>
      <c r="AJ68" s="698">
        <f t="shared" si="32"/>
        <v>7.3529411764705885E-2</v>
      </c>
      <c r="AK68" s="710">
        <f t="shared" si="33"/>
        <v>0.22058823529411764</v>
      </c>
      <c r="AL68" s="891">
        <f t="shared" si="34"/>
        <v>0.3529411764705882</v>
      </c>
      <c r="AM68" s="698">
        <f t="shared" si="35"/>
        <v>0.23529411764705882</v>
      </c>
      <c r="AN68" s="698">
        <f t="shared" si="36"/>
        <v>0.33823529411764708</v>
      </c>
      <c r="AO68" s="710">
        <f t="shared" si="37"/>
        <v>7.3529411764705885E-2</v>
      </c>
      <c r="AP68" s="885">
        <v>2</v>
      </c>
      <c r="AQ68" s="877">
        <v>0</v>
      </c>
      <c r="AR68" s="877">
        <v>0</v>
      </c>
      <c r="AS68" s="877">
        <f t="shared" ref="AS68:AS79" si="47">IF(AT68=" "," ",1-AT68)</f>
        <v>0.92647058823529416</v>
      </c>
      <c r="AT68" s="886">
        <f>IF(AO68=" "," ",AO68)</f>
        <v>7.3529411764705885E-2</v>
      </c>
      <c r="AU68" s="877">
        <f t="shared" si="42"/>
        <v>0.30705882352941172</v>
      </c>
      <c r="AV68" s="877">
        <f t="shared" si="43"/>
        <v>0.20470588235294118</v>
      </c>
      <c r="AW68" s="877">
        <f t="shared" si="44"/>
        <v>0.41470588235294126</v>
      </c>
      <c r="AX68" s="886">
        <f t="shared" si="45"/>
        <v>7.3529411764705899E-2</v>
      </c>
      <c r="AY68" s="1119"/>
    </row>
    <row r="69" spans="1:51" ht="15">
      <c r="A69" s="1108"/>
      <c r="B69" s="961">
        <v>15</v>
      </c>
      <c r="C69" s="927"/>
      <c r="D69" s="928" t="s">
        <v>135</v>
      </c>
      <c r="E69" s="928">
        <v>58</v>
      </c>
      <c r="F69" s="929">
        <v>2</v>
      </c>
      <c r="G69" s="930">
        <v>2.4</v>
      </c>
      <c r="H69" s="942">
        <v>2.0420039999999999</v>
      </c>
      <c r="I69" s="943">
        <v>0.86735099999999998</v>
      </c>
      <c r="J69" s="943">
        <v>24.438143</v>
      </c>
      <c r="K69" s="943">
        <v>0.28337639999999997</v>
      </c>
      <c r="L69" s="944">
        <v>0</v>
      </c>
      <c r="M69" s="934">
        <v>9.0747958425229243</v>
      </c>
      <c r="N69" s="934">
        <v>4.5870922042189397</v>
      </c>
      <c r="O69" s="934">
        <v>10.338111953258133</v>
      </c>
      <c r="P69" s="934">
        <v>0</v>
      </c>
      <c r="Q69" s="934">
        <v>0.55788039859392347</v>
      </c>
      <c r="R69" s="935">
        <f t="shared" si="0"/>
        <v>3.6690526196599733</v>
      </c>
      <c r="S69" s="898">
        <f t="shared" si="1"/>
        <v>8.7312712448000003</v>
      </c>
      <c r="T69" s="898">
        <f t="shared" si="2"/>
        <v>6.5135174492000001</v>
      </c>
      <c r="U69" s="898">
        <f t="shared" si="3"/>
        <v>3.0101396704000001</v>
      </c>
      <c r="V69" s="898">
        <f t="shared" si="4"/>
        <v>0.95013967039999991</v>
      </c>
      <c r="W69" s="945">
        <f t="shared" si="5"/>
        <v>2.5605538908000001</v>
      </c>
      <c r="X69" s="656">
        <f t="shared" si="41"/>
        <v>1</v>
      </c>
      <c r="Y69" s="656">
        <f t="shared" si="41"/>
        <v>1</v>
      </c>
      <c r="Z69" s="656">
        <f t="shared" si="41"/>
        <v>0</v>
      </c>
      <c r="AA69" s="656">
        <f t="shared" si="41"/>
        <v>0</v>
      </c>
      <c r="AB69" s="946">
        <f t="shared" si="41"/>
        <v>0</v>
      </c>
      <c r="AC69" s="1108"/>
      <c r="AD69" s="1080" t="s">
        <v>136</v>
      </c>
      <c r="AE69" s="12">
        <f t="shared" si="38"/>
        <v>64</v>
      </c>
      <c r="AF69" s="949" t="s">
        <v>236</v>
      </c>
      <c r="AG69" s="698">
        <f t="shared" si="29"/>
        <v>0.13235294117647059</v>
      </c>
      <c r="AH69" s="698">
        <f t="shared" si="30"/>
        <v>0.23529411764705882</v>
      </c>
      <c r="AI69" s="698">
        <f t="shared" si="31"/>
        <v>0.33823529411764708</v>
      </c>
      <c r="AJ69" s="698">
        <f t="shared" si="32"/>
        <v>7.3529411764705885E-2</v>
      </c>
      <c r="AK69" s="710">
        <f t="shared" si="33"/>
        <v>0.22058823529411764</v>
      </c>
      <c r="AL69" s="891">
        <f t="shared" si="34"/>
        <v>0.3529411764705882</v>
      </c>
      <c r="AM69" s="698">
        <f t="shared" si="35"/>
        <v>0.23529411764705882</v>
      </c>
      <c r="AN69" s="698">
        <f t="shared" si="36"/>
        <v>0.33823529411764708</v>
      </c>
      <c r="AO69" s="710">
        <f t="shared" si="37"/>
        <v>7.3529411764705885E-2</v>
      </c>
      <c r="AP69" s="885">
        <v>2</v>
      </c>
      <c r="AQ69" s="877">
        <v>0</v>
      </c>
      <c r="AR69" s="877">
        <v>0</v>
      </c>
      <c r="AS69" s="877">
        <f t="shared" si="47"/>
        <v>0.92647058823529416</v>
      </c>
      <c r="AT69" s="886">
        <f>IF(AO69=" "," ",AO69)</f>
        <v>7.3529411764705885E-2</v>
      </c>
      <c r="AU69" s="877">
        <f t="shared" si="42"/>
        <v>0.30705882352941172</v>
      </c>
      <c r="AV69" s="877">
        <f t="shared" si="43"/>
        <v>0.20470588235294118</v>
      </c>
      <c r="AW69" s="877">
        <f t="shared" si="44"/>
        <v>0.41470588235294126</v>
      </c>
      <c r="AX69" s="886">
        <f t="shared" si="45"/>
        <v>7.3529411764705899E-2</v>
      </c>
      <c r="AY69" s="1119"/>
    </row>
    <row r="70" spans="1:51" ht="15">
      <c r="A70" s="1108"/>
      <c r="B70" s="961">
        <v>16</v>
      </c>
      <c r="C70" s="927"/>
      <c r="D70" s="928" t="s">
        <v>135</v>
      </c>
      <c r="E70" s="928">
        <v>58</v>
      </c>
      <c r="F70" s="929">
        <v>2</v>
      </c>
      <c r="G70" s="930">
        <v>2.4</v>
      </c>
      <c r="H70" s="942">
        <v>10.574332999999999</v>
      </c>
      <c r="I70" s="943">
        <v>0.95450000000000002</v>
      </c>
      <c r="J70" s="943">
        <v>41.433754999999998</v>
      </c>
      <c r="K70" s="943">
        <v>0.28337639999999997</v>
      </c>
      <c r="L70" s="944">
        <v>6.7999999999999996E-3</v>
      </c>
      <c r="M70" s="934">
        <v>9.0747958425229243</v>
      </c>
      <c r="N70" s="934">
        <v>4.5870922042189397</v>
      </c>
      <c r="O70" s="934">
        <v>10.338111953258133</v>
      </c>
      <c r="P70" s="934">
        <v>0</v>
      </c>
      <c r="Q70" s="934">
        <v>0.55788039859392347</v>
      </c>
      <c r="R70" s="935">
        <f t="shared" ref="R70:R133" si="48">365/1000*((($J70-$H70)*Q70)+($I70*(M70-(24*Q70)))+($K70*N70)+($L70*P70))</f>
        <v>5.2551637053337314</v>
      </c>
      <c r="S70" s="898">
        <f t="shared" ref="S70:S133" si="49">IF(($H70&lt;(VLOOKUP($F70,Product_Class,9,FALSE))),(VLOOKUP($F70,Product_Class,10,FALSE)),((VLOOKUP($F70,Product_Class,7,FALSE)*$H70)+(VLOOKUP($F70,Product_Class,8,FALSE))))</f>
        <v>10.5332991296</v>
      </c>
      <c r="T70" s="898">
        <f t="shared" ref="T70:T133" si="50">IF(($H70&lt;(VLOOKUP($F70,Product_Class,13,FALSE))),(VLOOKUP($F70,Product_Class,14,FALSE)),((VLOOKUP($F70,Product_Class,11,FALSE)*$H70)+(VLOOKUP($F70,Product_Class,12,FALSE))))</f>
        <v>8.3249308958999997</v>
      </c>
      <c r="U70" s="898">
        <f t="shared" ref="U70:U133" si="51">IF(($H70&lt;(VLOOKUP($F70,Product_Class,17,FALSE))),(VLOOKUP($F70,Product_Class,18,FALSE)),((VLOOKUP($F70,Product_Class,15,FALSE)*$H70)+(VLOOKUP($F70,Product_Class,16,FALSE))))</f>
        <v>4.0135415608000002</v>
      </c>
      <c r="V70" s="898">
        <f t="shared" ref="V70:V133" si="52">IF(($H70&lt;(VLOOKUP($F70,Product_Class,21,FALSE))),(VLOOKUP($F70,Product_Class,22,FALSE)),((VLOOKUP($F70,Product_Class,19,FALSE)*$H70)+(VLOOKUP($F70,Product_Class,20,FALSE))))</f>
        <v>1.9535415607999997</v>
      </c>
      <c r="W70" s="945">
        <f t="shared" ref="W70:W133" si="53">IF(($H70&lt;(VLOOKUP($F70,Product_Class,25,FALSE))),(VLOOKUP($F70,Product_Class,26,FALSE)),((VLOOKUP($F70,Product_Class,23,FALSE)*$H70)+(VLOOKUP($F70,Product_Class,24,FALSE))))</f>
        <v>3.6074706591000001</v>
      </c>
      <c r="X70" s="656">
        <f t="shared" si="41"/>
        <v>1</v>
      </c>
      <c r="Y70" s="656">
        <f t="shared" si="41"/>
        <v>1</v>
      </c>
      <c r="Z70" s="656">
        <f t="shared" si="41"/>
        <v>0</v>
      </c>
      <c r="AA70" s="656">
        <f t="shared" si="41"/>
        <v>0</v>
      </c>
      <c r="AB70" s="946">
        <f t="shared" si="41"/>
        <v>0</v>
      </c>
      <c r="AC70" s="1108"/>
      <c r="AD70" s="1080" t="s">
        <v>137</v>
      </c>
      <c r="AE70" s="12">
        <f t="shared" si="38"/>
        <v>65</v>
      </c>
      <c r="AF70" s="949" t="s">
        <v>137</v>
      </c>
      <c r="AG70" s="698">
        <f t="shared" ref="AG70:AG85" si="54">VLOOKUP($AF70,Results_bc,10,FALSE)</f>
        <v>0</v>
      </c>
      <c r="AH70" s="698">
        <f t="shared" ref="AH70:AH85" si="55">VLOOKUP($AF70,Results_bc,11,FALSE)</f>
        <v>0</v>
      </c>
      <c r="AI70" s="698">
        <f t="shared" ref="AI70:AI85" si="56">VLOOKUP($AF70,Results_bc,12,FALSE)</f>
        <v>0.75</v>
      </c>
      <c r="AJ70" s="698">
        <f t="shared" ref="AJ70:AJ85" si="57">VLOOKUP($AF70,Results_bc,13,FALSE)</f>
        <v>0.25</v>
      </c>
      <c r="AK70" s="710">
        <f t="shared" ref="AK70:AK85" si="58">1-(SUM(AG70:AJ70))</f>
        <v>0</v>
      </c>
      <c r="AL70" s="891">
        <f t="shared" ref="AL70:AL85" si="59">IF(AG70="-"," ",AG70+AK70)</f>
        <v>0</v>
      </c>
      <c r="AM70" s="698">
        <f t="shared" ref="AM70:AM85" si="60">IF(AH70="-"," ",AH70)</f>
        <v>0</v>
      </c>
      <c r="AN70" s="698">
        <f t="shared" ref="AN70:AN85" si="61">IF(AI70="-"," ",AI70)</f>
        <v>0.75</v>
      </c>
      <c r="AO70" s="710">
        <f t="shared" ref="AO70:AO85" si="62">IF(AJ70="-"," ",AJ70)</f>
        <v>0.25</v>
      </c>
      <c r="AP70" s="885">
        <v>2</v>
      </c>
      <c r="AQ70" s="877">
        <v>0</v>
      </c>
      <c r="AR70" s="877">
        <v>0</v>
      </c>
      <c r="AS70" s="877">
        <f t="shared" si="47"/>
        <v>0.75</v>
      </c>
      <c r="AT70" s="886">
        <f>IF(AO70=" "," ",AO70)</f>
        <v>0.25</v>
      </c>
      <c r="AU70" s="877">
        <f t="shared" si="42"/>
        <v>0</v>
      </c>
      <c r="AV70" s="877">
        <f t="shared" si="43"/>
        <v>0</v>
      </c>
      <c r="AW70" s="877">
        <f t="shared" si="44"/>
        <v>0.75</v>
      </c>
      <c r="AX70" s="886">
        <f t="shared" si="45"/>
        <v>0.25</v>
      </c>
      <c r="AY70" s="1119"/>
    </row>
    <row r="71" spans="1:51" ht="15">
      <c r="A71" s="1108"/>
      <c r="B71" s="961">
        <v>40</v>
      </c>
      <c r="C71" s="927"/>
      <c r="D71" s="928" t="s">
        <v>135</v>
      </c>
      <c r="E71" s="928">
        <v>58</v>
      </c>
      <c r="F71" s="929">
        <v>2</v>
      </c>
      <c r="G71" s="930">
        <v>1.2</v>
      </c>
      <c r="H71" s="942">
        <v>9.6045013000000008</v>
      </c>
      <c r="I71" s="943">
        <v>1.7080035</v>
      </c>
      <c r="J71" s="943">
        <v>60.913160599999998</v>
      </c>
      <c r="K71" s="943">
        <v>0.36028979999999994</v>
      </c>
      <c r="L71" s="944">
        <v>0</v>
      </c>
      <c r="M71" s="934">
        <v>9.0747958425229243</v>
      </c>
      <c r="N71" s="934">
        <v>4.5870922042189397</v>
      </c>
      <c r="O71" s="934">
        <v>10.338111953258133</v>
      </c>
      <c r="P71" s="934">
        <v>0</v>
      </c>
      <c r="Q71" s="934">
        <v>0.55788039859392347</v>
      </c>
      <c r="R71" s="935">
        <f t="shared" si="48"/>
        <v>8.3613764679619873</v>
      </c>
      <c r="S71" s="898">
        <f t="shared" si="49"/>
        <v>10.328470674560002</v>
      </c>
      <c r="T71" s="898">
        <f t="shared" si="50"/>
        <v>8.1190356259899996</v>
      </c>
      <c r="U71" s="898">
        <f t="shared" si="51"/>
        <v>3.8994893528799999</v>
      </c>
      <c r="V71" s="898">
        <f t="shared" si="52"/>
        <v>1.83948935288</v>
      </c>
      <c r="W71" s="945">
        <f t="shared" si="53"/>
        <v>3.4884723095100001</v>
      </c>
      <c r="X71" s="656">
        <f t="shared" si="41"/>
        <v>1</v>
      </c>
      <c r="Y71" s="656">
        <f t="shared" si="41"/>
        <v>0</v>
      </c>
      <c r="Z71" s="656">
        <f t="shared" si="41"/>
        <v>0</v>
      </c>
      <c r="AA71" s="656">
        <f t="shared" si="41"/>
        <v>0</v>
      </c>
      <c r="AB71" s="946">
        <f t="shared" si="41"/>
        <v>0</v>
      </c>
      <c r="AC71" s="1108"/>
      <c r="AD71" s="1087" t="s">
        <v>781</v>
      </c>
      <c r="AE71" s="12">
        <f t="shared" ref="AE71:AE84" si="63">AE70+1</f>
        <v>66</v>
      </c>
      <c r="AF71" s="949" t="s">
        <v>204</v>
      </c>
      <c r="AG71" s="698">
        <f t="shared" si="54"/>
        <v>0.22448979591836735</v>
      </c>
      <c r="AH71" s="698">
        <f t="shared" si="55"/>
        <v>0.53061224489795922</v>
      </c>
      <c r="AI71" s="698">
        <f t="shared" si="56"/>
        <v>0.22448979591836735</v>
      </c>
      <c r="AJ71" s="698">
        <f t="shared" si="57"/>
        <v>0</v>
      </c>
      <c r="AK71" s="710">
        <f t="shared" si="58"/>
        <v>2.0408163265306034E-2</v>
      </c>
      <c r="AL71" s="891">
        <f t="shared" si="59"/>
        <v>0.24489795918367338</v>
      </c>
      <c r="AM71" s="698">
        <f t="shared" si="60"/>
        <v>0.53061224489795922</v>
      </c>
      <c r="AN71" s="698">
        <f t="shared" si="61"/>
        <v>0.22448979591836735</v>
      </c>
      <c r="AO71" s="710">
        <f t="shared" si="62"/>
        <v>0</v>
      </c>
      <c r="AP71" s="885">
        <v>2</v>
      </c>
      <c r="AQ71" s="877">
        <v>0</v>
      </c>
      <c r="AR71" s="877">
        <v>0</v>
      </c>
      <c r="AS71" s="877">
        <f t="shared" si="47"/>
        <v>1</v>
      </c>
      <c r="AT71" s="886">
        <f>IF(AO71=" "," ",AO71)</f>
        <v>0</v>
      </c>
      <c r="AU71" s="877">
        <f t="shared" si="42"/>
        <v>0.21306122448979584</v>
      </c>
      <c r="AV71" s="877">
        <f t="shared" si="43"/>
        <v>0.46163265306122453</v>
      </c>
      <c r="AW71" s="877">
        <f t="shared" si="44"/>
        <v>0.32530612244897961</v>
      </c>
      <c r="AX71" s="886">
        <f t="shared" si="45"/>
        <v>0</v>
      </c>
      <c r="AY71" s="1119"/>
    </row>
    <row r="72" spans="1:51" ht="15">
      <c r="A72" s="1108"/>
      <c r="B72" s="961">
        <v>42</v>
      </c>
      <c r="C72" s="927"/>
      <c r="D72" s="928" t="s">
        <v>135</v>
      </c>
      <c r="E72" s="928">
        <v>58</v>
      </c>
      <c r="F72" s="929">
        <v>2</v>
      </c>
      <c r="G72" s="930">
        <v>1.2</v>
      </c>
      <c r="H72" s="942">
        <v>2.2230106699999999</v>
      </c>
      <c r="I72" s="943">
        <v>0.70981603999999998</v>
      </c>
      <c r="J72" s="943">
        <v>21.4658686</v>
      </c>
      <c r="K72" s="943">
        <v>0</v>
      </c>
      <c r="L72" s="944">
        <v>0</v>
      </c>
      <c r="M72" s="934">
        <v>9.0747958425229243</v>
      </c>
      <c r="N72" s="934">
        <v>4.5870922042189397</v>
      </c>
      <c r="O72" s="934">
        <v>10.338111953258133</v>
      </c>
      <c r="P72" s="934">
        <v>0</v>
      </c>
      <c r="Q72" s="934">
        <v>0.55788039859392347</v>
      </c>
      <c r="R72" s="935">
        <f t="shared" si="48"/>
        <v>2.8005829401659068</v>
      </c>
      <c r="S72" s="898">
        <f t="shared" si="49"/>
        <v>8.7694998535040014</v>
      </c>
      <c r="T72" s="898">
        <f t="shared" si="50"/>
        <v>6.5519451652410003</v>
      </c>
      <c r="U72" s="898">
        <f t="shared" si="51"/>
        <v>3.031426054792</v>
      </c>
      <c r="V72" s="898">
        <f t="shared" si="52"/>
        <v>0.97142605479199995</v>
      </c>
      <c r="W72" s="945">
        <f t="shared" si="53"/>
        <v>2.5827634092089999</v>
      </c>
      <c r="X72" s="656">
        <f t="shared" si="41"/>
        <v>1</v>
      </c>
      <c r="Y72" s="656">
        <f t="shared" si="41"/>
        <v>1</v>
      </c>
      <c r="Z72" s="656">
        <f t="shared" si="41"/>
        <v>1</v>
      </c>
      <c r="AA72" s="656">
        <f t="shared" si="41"/>
        <v>0</v>
      </c>
      <c r="AB72" s="946">
        <f t="shared" si="41"/>
        <v>0</v>
      </c>
      <c r="AC72" s="1108"/>
      <c r="AD72" s="1087" t="s">
        <v>782</v>
      </c>
      <c r="AE72" s="12">
        <f t="shared" si="63"/>
        <v>67</v>
      </c>
      <c r="AF72" s="949" t="s">
        <v>204</v>
      </c>
      <c r="AG72" s="698">
        <f t="shared" si="54"/>
        <v>0.22448979591836735</v>
      </c>
      <c r="AH72" s="698">
        <f t="shared" si="55"/>
        <v>0.53061224489795922</v>
      </c>
      <c r="AI72" s="698">
        <f t="shared" si="56"/>
        <v>0.22448979591836735</v>
      </c>
      <c r="AJ72" s="698">
        <f t="shared" si="57"/>
        <v>0</v>
      </c>
      <c r="AK72" s="710">
        <f t="shared" si="58"/>
        <v>2.0408163265306034E-2</v>
      </c>
      <c r="AL72" s="891">
        <f t="shared" si="59"/>
        <v>0.24489795918367338</v>
      </c>
      <c r="AM72" s="698">
        <f t="shared" si="60"/>
        <v>0.53061224489795922</v>
      </c>
      <c r="AN72" s="698">
        <f t="shared" si="61"/>
        <v>0.22448979591836735</v>
      </c>
      <c r="AO72" s="710">
        <f t="shared" si="62"/>
        <v>0</v>
      </c>
      <c r="AP72" s="885">
        <v>2</v>
      </c>
      <c r="AQ72" s="877">
        <v>0</v>
      </c>
      <c r="AR72" s="877">
        <v>0</v>
      </c>
      <c r="AS72" s="877">
        <f t="shared" si="47"/>
        <v>1</v>
      </c>
      <c r="AT72" s="886">
        <f>IF(AO72=" "," ",AO72)</f>
        <v>0</v>
      </c>
      <c r="AU72" s="877">
        <f t="shared" si="42"/>
        <v>0.21306122448979584</v>
      </c>
      <c r="AV72" s="877">
        <f t="shared" si="43"/>
        <v>0.46163265306122453</v>
      </c>
      <c r="AW72" s="877">
        <f t="shared" si="44"/>
        <v>0.32530612244897961</v>
      </c>
      <c r="AX72" s="886">
        <f t="shared" si="45"/>
        <v>0</v>
      </c>
      <c r="AY72" s="1119"/>
    </row>
    <row r="73" spans="1:51" ht="15">
      <c r="A73" s="1108"/>
      <c r="B73" s="961">
        <v>44</v>
      </c>
      <c r="C73" s="927"/>
      <c r="D73" s="928" t="s">
        <v>135</v>
      </c>
      <c r="E73" s="928">
        <v>58</v>
      </c>
      <c r="F73" s="929">
        <v>2</v>
      </c>
      <c r="G73" s="930">
        <v>1.2</v>
      </c>
      <c r="H73" s="942">
        <v>9.3967679999999998</v>
      </c>
      <c r="I73" s="943">
        <v>1.3260012000000001</v>
      </c>
      <c r="J73" s="943">
        <v>60.978169000000001</v>
      </c>
      <c r="K73" s="943">
        <v>0.21261839999999999</v>
      </c>
      <c r="L73" s="944">
        <v>0</v>
      </c>
      <c r="M73" s="934">
        <v>9.0747958425229243</v>
      </c>
      <c r="N73" s="934">
        <v>4.5870922042189397</v>
      </c>
      <c r="O73" s="934">
        <v>10.338111953258133</v>
      </c>
      <c r="P73" s="934">
        <v>0</v>
      </c>
      <c r="Q73" s="934">
        <v>0.55788039859392347</v>
      </c>
      <c r="R73" s="935">
        <f t="shared" si="48"/>
        <v>8.771220486957823</v>
      </c>
      <c r="S73" s="898">
        <f t="shared" si="49"/>
        <v>10.284597401600001</v>
      </c>
      <c r="T73" s="898">
        <f t="shared" si="50"/>
        <v>8.0749338464000004</v>
      </c>
      <c r="U73" s="898">
        <f t="shared" si="51"/>
        <v>3.8750599167999997</v>
      </c>
      <c r="V73" s="898">
        <f t="shared" si="52"/>
        <v>1.8150599167999999</v>
      </c>
      <c r="W73" s="945">
        <f t="shared" si="53"/>
        <v>3.4629834335999998</v>
      </c>
      <c r="X73" s="656">
        <f t="shared" si="41"/>
        <v>1</v>
      </c>
      <c r="Y73" s="656">
        <f t="shared" si="41"/>
        <v>0</v>
      </c>
      <c r="Z73" s="656">
        <f t="shared" si="41"/>
        <v>0</v>
      </c>
      <c r="AA73" s="656">
        <f t="shared" si="41"/>
        <v>0</v>
      </c>
      <c r="AB73" s="946">
        <f t="shared" si="41"/>
        <v>0</v>
      </c>
      <c r="AC73" s="1108"/>
      <c r="AD73" s="1087" t="s">
        <v>783</v>
      </c>
      <c r="AE73" s="12">
        <f t="shared" si="63"/>
        <v>68</v>
      </c>
      <c r="AF73" s="949" t="s">
        <v>205</v>
      </c>
      <c r="AG73" s="698">
        <f t="shared" si="54"/>
        <v>0.18518518518518517</v>
      </c>
      <c r="AH73" s="698">
        <f t="shared" si="55"/>
        <v>7.407407407407407E-2</v>
      </c>
      <c r="AI73" s="698">
        <f t="shared" si="56"/>
        <v>3.7037037037037035E-2</v>
      </c>
      <c r="AJ73" s="698">
        <f t="shared" si="57"/>
        <v>0</v>
      </c>
      <c r="AK73" s="710">
        <f t="shared" si="58"/>
        <v>0.70370370370370372</v>
      </c>
      <c r="AL73" s="891">
        <f t="shared" si="59"/>
        <v>0.88888888888888884</v>
      </c>
      <c r="AM73" s="698">
        <f t="shared" si="60"/>
        <v>7.407407407407407E-2</v>
      </c>
      <c r="AN73" s="698">
        <f t="shared" si="61"/>
        <v>3.7037037037037035E-2</v>
      </c>
      <c r="AO73" s="710">
        <f t="shared" si="62"/>
        <v>0</v>
      </c>
      <c r="AP73" s="885">
        <v>3</v>
      </c>
      <c r="AQ73" s="877">
        <v>0</v>
      </c>
      <c r="AR73" s="877">
        <v>0</v>
      </c>
      <c r="AS73" s="877">
        <f t="shared" si="47"/>
        <v>0</v>
      </c>
      <c r="AT73" s="886">
        <v>1</v>
      </c>
      <c r="AU73" s="877">
        <f t="shared" si="42"/>
        <v>0.77333333333333332</v>
      </c>
      <c r="AV73" s="877">
        <f t="shared" si="43"/>
        <v>6.4444444444444443E-2</v>
      </c>
      <c r="AW73" s="877">
        <f t="shared" si="44"/>
        <v>3.2222222222222222E-2</v>
      </c>
      <c r="AX73" s="886">
        <f t="shared" si="45"/>
        <v>0.13</v>
      </c>
      <c r="AY73" s="1119"/>
    </row>
    <row r="74" spans="1:51" ht="15">
      <c r="A74" s="1108"/>
      <c r="B74" s="961">
        <v>45</v>
      </c>
      <c r="C74" s="927"/>
      <c r="D74" s="928" t="s">
        <v>135</v>
      </c>
      <c r="E74" s="928">
        <v>58</v>
      </c>
      <c r="F74" s="929">
        <v>2</v>
      </c>
      <c r="G74" s="930">
        <v>1.2</v>
      </c>
      <c r="H74" s="942">
        <v>0.90388000000000002</v>
      </c>
      <c r="I74" s="943">
        <v>0.59108989999999995</v>
      </c>
      <c r="J74" s="943">
        <v>16.992380000000001</v>
      </c>
      <c r="K74" s="943">
        <v>0.21261839999999999</v>
      </c>
      <c r="L74" s="944">
        <v>0</v>
      </c>
      <c r="M74" s="934">
        <v>9.0747958425229243</v>
      </c>
      <c r="N74" s="934">
        <v>4.5870922042189397</v>
      </c>
      <c r="O74" s="934">
        <v>10.338111953258133</v>
      </c>
      <c r="P74" s="934">
        <v>0</v>
      </c>
      <c r="Q74" s="934">
        <v>0.55788039859392347</v>
      </c>
      <c r="R74" s="935">
        <f t="shared" si="48"/>
        <v>2.7012189666261941</v>
      </c>
      <c r="S74" s="898">
        <f t="shared" si="49"/>
        <v>8.4908994560000011</v>
      </c>
      <c r="T74" s="898">
        <f t="shared" si="50"/>
        <v>6.2718937239999999</v>
      </c>
      <c r="U74" s="898">
        <f t="shared" si="51"/>
        <v>2.8762962879999998</v>
      </c>
      <c r="V74" s="898">
        <f t="shared" si="52"/>
        <v>0.81629628799999998</v>
      </c>
      <c r="W74" s="945">
        <f t="shared" si="53"/>
        <v>2.4209060760000001</v>
      </c>
      <c r="X74" s="656">
        <f t="shared" si="41"/>
        <v>1</v>
      </c>
      <c r="Y74" s="656">
        <f t="shared" si="41"/>
        <v>1</v>
      </c>
      <c r="Z74" s="656">
        <f t="shared" si="41"/>
        <v>1</v>
      </c>
      <c r="AA74" s="656">
        <f t="shared" si="41"/>
        <v>0</v>
      </c>
      <c r="AB74" s="946">
        <f t="shared" si="41"/>
        <v>0</v>
      </c>
      <c r="AC74" s="1108"/>
      <c r="AD74" s="1079" t="s">
        <v>625</v>
      </c>
      <c r="AE74" s="938">
        <f t="shared" si="63"/>
        <v>69</v>
      </c>
      <c r="AF74" s="947" t="s">
        <v>283</v>
      </c>
      <c r="AG74" s="708" t="str">
        <f t="shared" si="54"/>
        <v>-</v>
      </c>
      <c r="AH74" s="708" t="str">
        <f t="shared" si="55"/>
        <v>-</v>
      </c>
      <c r="AI74" s="708" t="str">
        <f t="shared" si="56"/>
        <v>-</v>
      </c>
      <c r="AJ74" s="708" t="str">
        <f t="shared" si="57"/>
        <v>-</v>
      </c>
      <c r="AK74" s="709">
        <f t="shared" si="58"/>
        <v>1</v>
      </c>
      <c r="AL74" s="941" t="str">
        <f t="shared" si="59"/>
        <v xml:space="preserve"> </v>
      </c>
      <c r="AM74" s="708" t="str">
        <f t="shared" si="60"/>
        <v xml:space="preserve"> </v>
      </c>
      <c r="AN74" s="708" t="str">
        <f t="shared" si="61"/>
        <v xml:space="preserve"> </v>
      </c>
      <c r="AO74" s="709" t="str">
        <f t="shared" si="62"/>
        <v xml:space="preserve"> </v>
      </c>
      <c r="AP74" s="948" t="s">
        <v>283</v>
      </c>
      <c r="AQ74" s="883"/>
      <c r="AR74" s="883"/>
      <c r="AS74" s="883" t="str">
        <f t="shared" si="47"/>
        <v xml:space="preserve"> </v>
      </c>
      <c r="AT74" s="884" t="str">
        <f>IF(AO74=" "," ",AO74)</f>
        <v xml:space="preserve"> </v>
      </c>
      <c r="AU74" s="883"/>
      <c r="AV74" s="883"/>
      <c r="AW74" s="883"/>
      <c r="AX74" s="884"/>
      <c r="AY74" s="1119"/>
    </row>
    <row r="75" spans="1:51" ht="15">
      <c r="A75" s="1108"/>
      <c r="B75" s="961">
        <v>49</v>
      </c>
      <c r="C75" s="927"/>
      <c r="D75" s="928" t="s">
        <v>135</v>
      </c>
      <c r="E75" s="928">
        <v>58</v>
      </c>
      <c r="F75" s="929">
        <v>2</v>
      </c>
      <c r="G75" s="930">
        <v>1.2</v>
      </c>
      <c r="H75" s="942">
        <v>9.3173440000000003</v>
      </c>
      <c r="I75" s="943">
        <v>0.74104101</v>
      </c>
      <c r="J75" s="943">
        <v>47.179962799999998</v>
      </c>
      <c r="K75" s="943">
        <v>0</v>
      </c>
      <c r="L75" s="944">
        <v>0</v>
      </c>
      <c r="M75" s="934">
        <v>9.0747958425229243</v>
      </c>
      <c r="N75" s="934">
        <v>4.5870922042189397</v>
      </c>
      <c r="O75" s="934">
        <v>10.338111953258133</v>
      </c>
      <c r="P75" s="934">
        <v>0</v>
      </c>
      <c r="Q75" s="934">
        <v>0.55788039859392347</v>
      </c>
      <c r="R75" s="935">
        <f t="shared" si="48"/>
        <v>6.5428858464626671</v>
      </c>
      <c r="S75" s="898">
        <f t="shared" si="49"/>
        <v>10.267823052800001</v>
      </c>
      <c r="T75" s="898">
        <f t="shared" si="50"/>
        <v>8.0580721311999994</v>
      </c>
      <c r="U75" s="898">
        <f t="shared" si="51"/>
        <v>3.8657196544000003</v>
      </c>
      <c r="V75" s="898">
        <f t="shared" si="52"/>
        <v>1.8057196544</v>
      </c>
      <c r="W75" s="945">
        <f t="shared" si="53"/>
        <v>3.4532381087999999</v>
      </c>
      <c r="X75" s="656">
        <f t="shared" si="41"/>
        <v>1</v>
      </c>
      <c r="Y75" s="656">
        <f t="shared" si="41"/>
        <v>1</v>
      </c>
      <c r="Z75" s="656">
        <f t="shared" si="41"/>
        <v>0</v>
      </c>
      <c r="AA75" s="656">
        <f t="shared" si="41"/>
        <v>0</v>
      </c>
      <c r="AB75" s="946">
        <f t="shared" si="41"/>
        <v>0</v>
      </c>
      <c r="AC75" s="1108"/>
      <c r="AD75" s="1080" t="s">
        <v>139</v>
      </c>
      <c r="AE75" s="12">
        <f t="shared" si="63"/>
        <v>70</v>
      </c>
      <c r="AF75" s="949" t="s">
        <v>139</v>
      </c>
      <c r="AG75" s="698">
        <f t="shared" si="54"/>
        <v>0</v>
      </c>
      <c r="AH75" s="698">
        <f t="shared" si="55"/>
        <v>0.6</v>
      </c>
      <c r="AI75" s="698">
        <f t="shared" si="56"/>
        <v>0.2</v>
      </c>
      <c r="AJ75" s="698">
        <f t="shared" si="57"/>
        <v>0</v>
      </c>
      <c r="AK75" s="710">
        <f t="shared" si="58"/>
        <v>0.19999999999999996</v>
      </c>
      <c r="AL75" s="891">
        <f t="shared" si="59"/>
        <v>0.19999999999999996</v>
      </c>
      <c r="AM75" s="698">
        <f t="shared" si="60"/>
        <v>0.6</v>
      </c>
      <c r="AN75" s="698">
        <f t="shared" si="61"/>
        <v>0.2</v>
      </c>
      <c r="AO75" s="710">
        <f t="shared" si="62"/>
        <v>0</v>
      </c>
      <c r="AP75" s="885">
        <v>2</v>
      </c>
      <c r="AQ75" s="877">
        <v>0</v>
      </c>
      <c r="AR75" s="877">
        <v>0</v>
      </c>
      <c r="AS75" s="877">
        <f t="shared" si="47"/>
        <v>1</v>
      </c>
      <c r="AT75" s="886">
        <f>IF(AO75=" "," ",AO75)</f>
        <v>0</v>
      </c>
      <c r="AU75" s="877">
        <f t="shared" ref="AU75:AU84" si="64">(AL75*(1-$AU$3))+(AQ75*$AU$3)</f>
        <v>0.17399999999999996</v>
      </c>
      <c r="AV75" s="877">
        <f t="shared" ref="AV75:AV84" si="65">(AM75*(1-$AU$3))+(AR75*$AU$3)</f>
        <v>0.52200000000000002</v>
      </c>
      <c r="AW75" s="877">
        <f t="shared" ref="AW75:AW84" si="66">(AN75*(1-$AU$3))+(AS75*$AU$3)</f>
        <v>0.30400000000000005</v>
      </c>
      <c r="AX75" s="886">
        <f t="shared" ref="AX75:AX84" si="67">(AO75*(1-$AU$3))+(AT75*$AU$3)</f>
        <v>0</v>
      </c>
      <c r="AY75" s="1119"/>
    </row>
    <row r="76" spans="1:51" ht="15">
      <c r="A76" s="1108"/>
      <c r="B76" s="961">
        <v>51</v>
      </c>
      <c r="C76" s="927"/>
      <c r="D76" s="928" t="s">
        <v>135</v>
      </c>
      <c r="E76" s="928">
        <v>58</v>
      </c>
      <c r="F76" s="929">
        <v>2</v>
      </c>
      <c r="G76" s="930">
        <v>1.2</v>
      </c>
      <c r="H76" s="942">
        <v>10.164232999999999</v>
      </c>
      <c r="I76" s="943">
        <v>0.57451920000000001</v>
      </c>
      <c r="J76" s="943">
        <v>37.189919699999997</v>
      </c>
      <c r="K76" s="943">
        <v>0.57044640000000002</v>
      </c>
      <c r="L76" s="944">
        <v>0</v>
      </c>
      <c r="M76" s="934">
        <v>9.0747958425229243</v>
      </c>
      <c r="N76" s="934">
        <v>4.5870922042189397</v>
      </c>
      <c r="O76" s="934">
        <v>10.338111953258133</v>
      </c>
      <c r="P76" s="934">
        <v>0</v>
      </c>
      <c r="Q76" s="934">
        <v>0.55788039859392347</v>
      </c>
      <c r="R76" s="935">
        <f t="shared" si="48"/>
        <v>5.5535200933206195</v>
      </c>
      <c r="S76" s="898">
        <f t="shared" si="49"/>
        <v>10.4466860096</v>
      </c>
      <c r="T76" s="898">
        <f t="shared" si="50"/>
        <v>8.2378666659000004</v>
      </c>
      <c r="U76" s="898">
        <f t="shared" si="51"/>
        <v>3.9653138007999997</v>
      </c>
      <c r="V76" s="898">
        <f t="shared" si="52"/>
        <v>1.9053138007999999</v>
      </c>
      <c r="W76" s="945">
        <f t="shared" si="53"/>
        <v>3.5571513890999999</v>
      </c>
      <c r="X76" s="656">
        <f t="shared" si="41"/>
        <v>1</v>
      </c>
      <c r="Y76" s="656">
        <f t="shared" si="41"/>
        <v>1</v>
      </c>
      <c r="Z76" s="656">
        <f t="shared" si="41"/>
        <v>0</v>
      </c>
      <c r="AA76" s="656">
        <f t="shared" si="41"/>
        <v>0</v>
      </c>
      <c r="AB76" s="946">
        <f t="shared" si="41"/>
        <v>0</v>
      </c>
      <c r="AC76" s="1108"/>
      <c r="AD76" s="1080" t="s">
        <v>140</v>
      </c>
      <c r="AE76" s="12">
        <f t="shared" si="63"/>
        <v>71</v>
      </c>
      <c r="AF76" s="949" t="s">
        <v>140</v>
      </c>
      <c r="AG76" s="698">
        <f t="shared" si="54"/>
        <v>0.38461538461538464</v>
      </c>
      <c r="AH76" s="698">
        <f t="shared" si="55"/>
        <v>0.5</v>
      </c>
      <c r="AI76" s="698">
        <f t="shared" si="56"/>
        <v>3.8461538461538464E-2</v>
      </c>
      <c r="AJ76" s="698">
        <f t="shared" si="57"/>
        <v>0</v>
      </c>
      <c r="AK76" s="710">
        <f t="shared" si="58"/>
        <v>7.6923076923076983E-2</v>
      </c>
      <c r="AL76" s="891">
        <f t="shared" si="59"/>
        <v>0.46153846153846162</v>
      </c>
      <c r="AM76" s="698">
        <f t="shared" si="60"/>
        <v>0.5</v>
      </c>
      <c r="AN76" s="698">
        <f t="shared" si="61"/>
        <v>3.8461538461538464E-2</v>
      </c>
      <c r="AO76" s="710">
        <f t="shared" si="62"/>
        <v>0</v>
      </c>
      <c r="AP76" s="885">
        <v>2</v>
      </c>
      <c r="AQ76" s="877">
        <v>0</v>
      </c>
      <c r="AR76" s="877">
        <v>0</v>
      </c>
      <c r="AS76" s="877">
        <f t="shared" si="47"/>
        <v>1</v>
      </c>
      <c r="AT76" s="886">
        <f>IF(AO76=" "," ",AO76)</f>
        <v>0</v>
      </c>
      <c r="AU76" s="877">
        <f t="shared" si="64"/>
        <v>0.40153846153846162</v>
      </c>
      <c r="AV76" s="877">
        <f t="shared" si="65"/>
        <v>0.435</v>
      </c>
      <c r="AW76" s="877">
        <f t="shared" si="66"/>
        <v>0.16346153846153846</v>
      </c>
      <c r="AX76" s="886">
        <f t="shared" si="67"/>
        <v>0</v>
      </c>
      <c r="AY76" s="1119"/>
    </row>
    <row r="77" spans="1:51" ht="15">
      <c r="A77" s="1108"/>
      <c r="B77" s="961">
        <v>79</v>
      </c>
      <c r="C77" s="927"/>
      <c r="D77" s="928" t="s">
        <v>135</v>
      </c>
      <c r="E77" s="928">
        <v>58</v>
      </c>
      <c r="F77" s="929">
        <v>2</v>
      </c>
      <c r="G77" s="930">
        <v>2.4</v>
      </c>
      <c r="H77" s="942">
        <v>10.265433</v>
      </c>
      <c r="I77" s="943">
        <v>0.70694159999999995</v>
      </c>
      <c r="J77" s="943">
        <v>37.331432399999997</v>
      </c>
      <c r="K77" s="943">
        <v>0.24441300000000002</v>
      </c>
      <c r="L77" s="944">
        <v>0</v>
      </c>
      <c r="M77" s="934">
        <v>9.0747958425229243</v>
      </c>
      <c r="N77" s="934">
        <v>4.5870922042189397</v>
      </c>
      <c r="O77" s="934">
        <v>10.338111953258133</v>
      </c>
      <c r="P77" s="934">
        <v>0</v>
      </c>
      <c r="Q77" s="934">
        <v>0.55788039859392347</v>
      </c>
      <c r="R77" s="935">
        <f t="shared" si="48"/>
        <v>4.807325032951689</v>
      </c>
      <c r="S77" s="898">
        <f t="shared" si="49"/>
        <v>10.4680594496</v>
      </c>
      <c r="T77" s="898">
        <f t="shared" si="50"/>
        <v>8.2593514259000003</v>
      </c>
      <c r="U77" s="898">
        <f t="shared" si="51"/>
        <v>3.9772149207999998</v>
      </c>
      <c r="V77" s="898">
        <f t="shared" si="52"/>
        <v>1.9172149208</v>
      </c>
      <c r="W77" s="945">
        <f t="shared" si="53"/>
        <v>3.5695686290999999</v>
      </c>
      <c r="X77" s="656">
        <f t="shared" si="41"/>
        <v>1</v>
      </c>
      <c r="Y77" s="656">
        <f t="shared" si="41"/>
        <v>1</v>
      </c>
      <c r="Z77" s="656">
        <f t="shared" si="41"/>
        <v>0</v>
      </c>
      <c r="AA77" s="656">
        <f t="shared" si="41"/>
        <v>0</v>
      </c>
      <c r="AB77" s="946">
        <f t="shared" si="41"/>
        <v>0</v>
      </c>
      <c r="AC77" s="1108"/>
      <c r="AD77" s="1080" t="s">
        <v>141</v>
      </c>
      <c r="AE77" s="12">
        <f t="shared" si="63"/>
        <v>72</v>
      </c>
      <c r="AF77" s="949" t="s">
        <v>141</v>
      </c>
      <c r="AG77" s="698">
        <f t="shared" si="54"/>
        <v>0.15789473684210525</v>
      </c>
      <c r="AH77" s="698">
        <f t="shared" si="55"/>
        <v>0.57894736842105265</v>
      </c>
      <c r="AI77" s="698">
        <f t="shared" si="56"/>
        <v>0.21052631578947367</v>
      </c>
      <c r="AJ77" s="698">
        <f t="shared" si="57"/>
        <v>0</v>
      </c>
      <c r="AK77" s="710">
        <f t="shared" si="58"/>
        <v>5.2631578947368363E-2</v>
      </c>
      <c r="AL77" s="891">
        <f t="shared" si="59"/>
        <v>0.21052631578947362</v>
      </c>
      <c r="AM77" s="698">
        <f t="shared" si="60"/>
        <v>0.57894736842105265</v>
      </c>
      <c r="AN77" s="698">
        <f t="shared" si="61"/>
        <v>0.21052631578947367</v>
      </c>
      <c r="AO77" s="710">
        <f t="shared" si="62"/>
        <v>0</v>
      </c>
      <c r="AP77" s="885">
        <v>2</v>
      </c>
      <c r="AQ77" s="877">
        <v>0</v>
      </c>
      <c r="AR77" s="877">
        <v>0</v>
      </c>
      <c r="AS77" s="877">
        <f t="shared" si="47"/>
        <v>1</v>
      </c>
      <c r="AT77" s="886">
        <f>IF(AO77=" "," ",AO77)</f>
        <v>0</v>
      </c>
      <c r="AU77" s="877">
        <f t="shared" si="64"/>
        <v>0.18315789473684205</v>
      </c>
      <c r="AV77" s="877">
        <f t="shared" si="65"/>
        <v>0.50368421052631585</v>
      </c>
      <c r="AW77" s="877">
        <f t="shared" si="66"/>
        <v>0.31315789473684208</v>
      </c>
      <c r="AX77" s="886">
        <f t="shared" si="67"/>
        <v>0</v>
      </c>
      <c r="AY77" s="1119"/>
    </row>
    <row r="78" spans="1:51" ht="15">
      <c r="A78" s="1108"/>
      <c r="B78" s="961">
        <v>80</v>
      </c>
      <c r="C78" s="927"/>
      <c r="D78" s="928" t="s">
        <v>135</v>
      </c>
      <c r="E78" s="928">
        <v>58</v>
      </c>
      <c r="F78" s="929">
        <v>2</v>
      </c>
      <c r="G78" s="930">
        <v>2.4</v>
      </c>
      <c r="H78" s="942">
        <v>1.9237139999999999</v>
      </c>
      <c r="I78" s="943">
        <v>0.47377975999999999</v>
      </c>
      <c r="J78" s="943">
        <v>15.3469921</v>
      </c>
      <c r="K78" s="943">
        <v>0</v>
      </c>
      <c r="L78" s="944">
        <v>0</v>
      </c>
      <c r="M78" s="934">
        <v>9.0747958425229243</v>
      </c>
      <c r="N78" s="934">
        <v>4.5870922042189397</v>
      </c>
      <c r="O78" s="934">
        <v>10.338111953258133</v>
      </c>
      <c r="P78" s="934">
        <v>0</v>
      </c>
      <c r="Q78" s="934">
        <v>0.55788039859392347</v>
      </c>
      <c r="R78" s="935">
        <f t="shared" si="48"/>
        <v>1.9872570053466636</v>
      </c>
      <c r="S78" s="898">
        <f t="shared" si="49"/>
        <v>8.7062883968000015</v>
      </c>
      <c r="T78" s="898">
        <f t="shared" si="50"/>
        <v>6.4884044822</v>
      </c>
      <c r="U78" s="898">
        <f t="shared" si="51"/>
        <v>2.9962287663999998</v>
      </c>
      <c r="V78" s="898">
        <f t="shared" si="52"/>
        <v>0.93622876639999997</v>
      </c>
      <c r="W78" s="945">
        <f t="shared" si="53"/>
        <v>2.5460397077999999</v>
      </c>
      <c r="X78" s="656">
        <f t="shared" si="41"/>
        <v>1</v>
      </c>
      <c r="Y78" s="656">
        <f t="shared" si="41"/>
        <v>1</v>
      </c>
      <c r="Z78" s="656">
        <f t="shared" si="41"/>
        <v>1</v>
      </c>
      <c r="AA78" s="656">
        <f t="shared" si="41"/>
        <v>0</v>
      </c>
      <c r="AB78" s="946">
        <f t="shared" si="41"/>
        <v>1</v>
      </c>
      <c r="AC78" s="1108"/>
      <c r="AD78" s="1080" t="s">
        <v>172</v>
      </c>
      <c r="AE78" s="12">
        <f t="shared" si="63"/>
        <v>73</v>
      </c>
      <c r="AF78" s="949" t="s">
        <v>206</v>
      </c>
      <c r="AG78" s="698">
        <f t="shared" si="54"/>
        <v>0.5</v>
      </c>
      <c r="AH78" s="698">
        <f t="shared" si="55"/>
        <v>0.2</v>
      </c>
      <c r="AI78" s="698">
        <f t="shared" si="56"/>
        <v>0.3</v>
      </c>
      <c r="AJ78" s="698">
        <f t="shared" si="57"/>
        <v>0</v>
      </c>
      <c r="AK78" s="710">
        <f t="shared" si="58"/>
        <v>0</v>
      </c>
      <c r="AL78" s="891">
        <f t="shared" si="59"/>
        <v>0.5</v>
      </c>
      <c r="AM78" s="698">
        <f t="shared" si="60"/>
        <v>0.2</v>
      </c>
      <c r="AN78" s="698">
        <f t="shared" si="61"/>
        <v>0.3</v>
      </c>
      <c r="AO78" s="710">
        <f t="shared" si="62"/>
        <v>0</v>
      </c>
      <c r="AP78" s="885">
        <v>3</v>
      </c>
      <c r="AQ78" s="877">
        <v>0</v>
      </c>
      <c r="AR78" s="877">
        <v>0</v>
      </c>
      <c r="AS78" s="877">
        <f t="shared" si="47"/>
        <v>0</v>
      </c>
      <c r="AT78" s="886">
        <v>1</v>
      </c>
      <c r="AU78" s="877">
        <f t="shared" si="64"/>
        <v>0.435</v>
      </c>
      <c r="AV78" s="877">
        <f t="shared" si="65"/>
        <v>0.17400000000000002</v>
      </c>
      <c r="AW78" s="877">
        <f t="shared" si="66"/>
        <v>0.26100000000000001</v>
      </c>
      <c r="AX78" s="886">
        <f t="shared" si="67"/>
        <v>0.13</v>
      </c>
      <c r="AY78" s="1119"/>
    </row>
    <row r="79" spans="1:51" ht="15">
      <c r="A79" s="1108"/>
      <c r="B79" s="961">
        <v>81</v>
      </c>
      <c r="C79" s="927"/>
      <c r="D79" s="928" t="s">
        <v>135</v>
      </c>
      <c r="E79" s="928">
        <v>58</v>
      </c>
      <c r="F79" s="929">
        <v>2</v>
      </c>
      <c r="G79" s="930">
        <v>2.4</v>
      </c>
      <c r="H79" s="942">
        <v>11.5608</v>
      </c>
      <c r="I79" s="943">
        <v>2.74088858</v>
      </c>
      <c r="J79" s="943">
        <v>88.168255400000007</v>
      </c>
      <c r="K79" s="943">
        <v>0</v>
      </c>
      <c r="L79" s="944">
        <v>0</v>
      </c>
      <c r="M79" s="934">
        <v>9.0747958425229243</v>
      </c>
      <c r="N79" s="934">
        <v>4.5870922042189397</v>
      </c>
      <c r="O79" s="934">
        <v>10.338111953258133</v>
      </c>
      <c r="P79" s="934">
        <v>0</v>
      </c>
      <c r="Q79" s="934">
        <v>0.55788039859392347</v>
      </c>
      <c r="R79" s="935">
        <f t="shared" si="48"/>
        <v>11.283131747849055</v>
      </c>
      <c r="S79" s="898">
        <f t="shared" si="49"/>
        <v>10.741640960000002</v>
      </c>
      <c r="T79" s="898">
        <f t="shared" si="50"/>
        <v>8.5343578400000002</v>
      </c>
      <c r="U79" s="898">
        <f t="shared" si="51"/>
        <v>4.1295500799999996</v>
      </c>
      <c r="V79" s="898">
        <f t="shared" si="52"/>
        <v>2.06955008</v>
      </c>
      <c r="W79" s="945">
        <f t="shared" si="53"/>
        <v>3.7285101599999999</v>
      </c>
      <c r="X79" s="656">
        <f t="shared" si="41"/>
        <v>0</v>
      </c>
      <c r="Y79" s="656">
        <f t="shared" si="41"/>
        <v>0</v>
      </c>
      <c r="Z79" s="656">
        <f t="shared" si="41"/>
        <v>0</v>
      </c>
      <c r="AA79" s="656">
        <f t="shared" si="41"/>
        <v>0</v>
      </c>
      <c r="AB79" s="946">
        <f t="shared" si="41"/>
        <v>0</v>
      </c>
      <c r="AC79" s="1108"/>
      <c r="AD79" s="1080" t="s">
        <v>142</v>
      </c>
      <c r="AE79" s="12">
        <f t="shared" si="63"/>
        <v>74</v>
      </c>
      <c r="AF79" s="949" t="s">
        <v>206</v>
      </c>
      <c r="AG79" s="698">
        <f t="shared" si="54"/>
        <v>0.5</v>
      </c>
      <c r="AH79" s="698">
        <f t="shared" si="55"/>
        <v>0.2</v>
      </c>
      <c r="AI79" s="698">
        <f t="shared" si="56"/>
        <v>0.3</v>
      </c>
      <c r="AJ79" s="698">
        <f t="shared" si="57"/>
        <v>0</v>
      </c>
      <c r="AK79" s="710">
        <f t="shared" si="58"/>
        <v>0</v>
      </c>
      <c r="AL79" s="891">
        <f t="shared" si="59"/>
        <v>0.5</v>
      </c>
      <c r="AM79" s="698">
        <f t="shared" si="60"/>
        <v>0.2</v>
      </c>
      <c r="AN79" s="698">
        <f t="shared" si="61"/>
        <v>0.3</v>
      </c>
      <c r="AO79" s="710">
        <f t="shared" si="62"/>
        <v>0</v>
      </c>
      <c r="AP79" s="885">
        <v>3</v>
      </c>
      <c r="AQ79" s="877">
        <v>0</v>
      </c>
      <c r="AR79" s="877">
        <v>0</v>
      </c>
      <c r="AS79" s="877">
        <f t="shared" si="47"/>
        <v>0</v>
      </c>
      <c r="AT79" s="886">
        <v>1</v>
      </c>
      <c r="AU79" s="877">
        <f t="shared" si="64"/>
        <v>0.435</v>
      </c>
      <c r="AV79" s="877">
        <f t="shared" si="65"/>
        <v>0.17400000000000002</v>
      </c>
      <c r="AW79" s="877">
        <f t="shared" si="66"/>
        <v>0.26100000000000001</v>
      </c>
      <c r="AX79" s="886">
        <f t="shared" si="67"/>
        <v>0.13</v>
      </c>
      <c r="AY79" s="1119"/>
    </row>
    <row r="80" spans="1:51" ht="15">
      <c r="A80" s="1108"/>
      <c r="B80" s="961">
        <v>82</v>
      </c>
      <c r="C80" s="927"/>
      <c r="D80" s="928" t="s">
        <v>135</v>
      </c>
      <c r="E80" s="928">
        <v>58</v>
      </c>
      <c r="F80" s="929">
        <v>2</v>
      </c>
      <c r="G80" s="930">
        <v>2.4</v>
      </c>
      <c r="H80" s="942">
        <v>1.9913879999999999</v>
      </c>
      <c r="I80" s="943">
        <v>2.69207653</v>
      </c>
      <c r="J80" s="943">
        <v>68.927854199999999</v>
      </c>
      <c r="K80" s="943">
        <v>2.3677320000000002</v>
      </c>
      <c r="L80" s="944">
        <v>0</v>
      </c>
      <c r="M80" s="934">
        <v>9.0747958425229243</v>
      </c>
      <c r="N80" s="934">
        <v>4.5870922042189397</v>
      </c>
      <c r="O80" s="934">
        <v>10.338111953258133</v>
      </c>
      <c r="P80" s="934">
        <v>0</v>
      </c>
      <c r="Q80" s="934">
        <v>0.55788039859392347</v>
      </c>
      <c r="R80" s="935">
        <f t="shared" si="48"/>
        <v>13.354996272207412</v>
      </c>
      <c r="S80" s="898">
        <f t="shared" si="49"/>
        <v>8.7205811456000006</v>
      </c>
      <c r="T80" s="898">
        <f t="shared" si="50"/>
        <v>6.5027716723999998</v>
      </c>
      <c r="U80" s="898">
        <f t="shared" si="51"/>
        <v>3.0041872288000002</v>
      </c>
      <c r="V80" s="898">
        <f t="shared" si="52"/>
        <v>0.94418722879999994</v>
      </c>
      <c r="W80" s="945">
        <f t="shared" si="53"/>
        <v>2.5543433075999999</v>
      </c>
      <c r="X80" s="656">
        <f t="shared" si="41"/>
        <v>0</v>
      </c>
      <c r="Y80" s="656">
        <f t="shared" si="41"/>
        <v>0</v>
      </c>
      <c r="Z80" s="656">
        <f t="shared" si="41"/>
        <v>0</v>
      </c>
      <c r="AA80" s="656">
        <f t="shared" si="41"/>
        <v>0</v>
      </c>
      <c r="AB80" s="946">
        <f t="shared" si="41"/>
        <v>0</v>
      </c>
      <c r="AC80" s="1108"/>
      <c r="AD80" s="1080" t="s">
        <v>143</v>
      </c>
      <c r="AE80" s="12">
        <f t="shared" si="63"/>
        <v>75</v>
      </c>
      <c r="AF80" s="949" t="s">
        <v>207</v>
      </c>
      <c r="AG80" s="698">
        <f t="shared" si="54"/>
        <v>0.5</v>
      </c>
      <c r="AH80" s="698">
        <f t="shared" si="55"/>
        <v>0.5</v>
      </c>
      <c r="AI80" s="698">
        <f t="shared" si="56"/>
        <v>0</v>
      </c>
      <c r="AJ80" s="698">
        <f t="shared" si="57"/>
        <v>0</v>
      </c>
      <c r="AK80" s="710">
        <f t="shared" si="58"/>
        <v>0</v>
      </c>
      <c r="AL80" s="891">
        <f t="shared" si="59"/>
        <v>0.5</v>
      </c>
      <c r="AM80" s="698">
        <f t="shared" si="60"/>
        <v>0.5</v>
      </c>
      <c r="AN80" s="698">
        <f t="shared" si="61"/>
        <v>0</v>
      </c>
      <c r="AO80" s="710">
        <f t="shared" si="62"/>
        <v>0</v>
      </c>
      <c r="AP80" s="885">
        <v>1</v>
      </c>
      <c r="AQ80" s="877">
        <v>0</v>
      </c>
      <c r="AR80" s="877">
        <v>1</v>
      </c>
      <c r="AS80" s="877">
        <v>0</v>
      </c>
      <c r="AT80" s="886">
        <f>IF(AO80=" "," ",AO80)</f>
        <v>0</v>
      </c>
      <c r="AU80" s="877">
        <f t="shared" si="64"/>
        <v>0.435</v>
      </c>
      <c r="AV80" s="877">
        <f t="shared" si="65"/>
        <v>0.56499999999999995</v>
      </c>
      <c r="AW80" s="877">
        <f t="shared" si="66"/>
        <v>0</v>
      </c>
      <c r="AX80" s="886">
        <f t="shared" si="67"/>
        <v>0</v>
      </c>
      <c r="AY80" s="1119"/>
    </row>
    <row r="81" spans="1:51" ht="15">
      <c r="A81" s="1108"/>
      <c r="B81" s="961" t="s">
        <v>1316</v>
      </c>
      <c r="C81" s="927"/>
      <c r="D81" s="928" t="s">
        <v>135</v>
      </c>
      <c r="E81" s="928">
        <v>58</v>
      </c>
      <c r="F81" s="929">
        <v>2</v>
      </c>
      <c r="G81" s="930">
        <v>1.2</v>
      </c>
      <c r="H81" s="942">
        <v>9.0919566666661371</v>
      </c>
      <c r="I81" s="943">
        <v>0.42231977430555584</v>
      </c>
      <c r="J81" s="943">
        <v>30.644189373333226</v>
      </c>
      <c r="K81" s="943">
        <v>0.12235740000000002</v>
      </c>
      <c r="L81" s="944">
        <v>0</v>
      </c>
      <c r="M81" s="934">
        <v>9.0747958425229243</v>
      </c>
      <c r="N81" s="934">
        <v>4.5870922042189397</v>
      </c>
      <c r="O81" s="934">
        <v>10.338111953258133</v>
      </c>
      <c r="P81" s="934">
        <v>0</v>
      </c>
      <c r="Q81" s="934">
        <v>0.55788039859392347</v>
      </c>
      <c r="R81" s="935">
        <f t="shared" si="48"/>
        <v>3.9284236075212853</v>
      </c>
      <c r="S81" s="898">
        <f t="shared" si="49"/>
        <v>10.22022124799989</v>
      </c>
      <c r="T81" s="898">
        <f t="shared" si="50"/>
        <v>8.0102224003332214</v>
      </c>
      <c r="U81" s="898">
        <f t="shared" si="51"/>
        <v>3.8392141039999377</v>
      </c>
      <c r="V81" s="898">
        <f t="shared" si="52"/>
        <v>1.7792141039999376</v>
      </c>
      <c r="W81" s="945">
        <f t="shared" si="53"/>
        <v>3.4255830829999354</v>
      </c>
      <c r="X81" s="656">
        <f t="shared" si="41"/>
        <v>1</v>
      </c>
      <c r="Y81" s="656">
        <f t="shared" si="41"/>
        <v>1</v>
      </c>
      <c r="Z81" s="656">
        <f t="shared" si="41"/>
        <v>0</v>
      </c>
      <c r="AA81" s="656">
        <f t="shared" si="41"/>
        <v>0</v>
      </c>
      <c r="AB81" s="946">
        <f t="shared" si="41"/>
        <v>0</v>
      </c>
      <c r="AC81" s="1108"/>
      <c r="AD81" s="1080" t="s">
        <v>144</v>
      </c>
      <c r="AE81" s="12">
        <f t="shared" si="63"/>
        <v>76</v>
      </c>
      <c r="AF81" s="949" t="s">
        <v>203</v>
      </c>
      <c r="AG81" s="698">
        <f t="shared" si="54"/>
        <v>6.0606060606060608E-2</v>
      </c>
      <c r="AH81" s="698">
        <f t="shared" si="55"/>
        <v>0.69696969696969702</v>
      </c>
      <c r="AI81" s="698">
        <f t="shared" si="56"/>
        <v>9.0909090909090912E-2</v>
      </c>
      <c r="AJ81" s="698">
        <f t="shared" si="57"/>
        <v>0</v>
      </c>
      <c r="AK81" s="710">
        <f t="shared" si="58"/>
        <v>0.15151515151515149</v>
      </c>
      <c r="AL81" s="891">
        <f t="shared" si="59"/>
        <v>0.2121212121212121</v>
      </c>
      <c r="AM81" s="698">
        <f t="shared" si="60"/>
        <v>0.69696969696969702</v>
      </c>
      <c r="AN81" s="698">
        <f t="shared" si="61"/>
        <v>9.0909090909090912E-2</v>
      </c>
      <c r="AO81" s="710">
        <f t="shared" si="62"/>
        <v>0</v>
      </c>
      <c r="AP81" s="887" t="s">
        <v>1245</v>
      </c>
      <c r="AQ81" s="877">
        <v>0</v>
      </c>
      <c r="AR81" s="877">
        <v>0</v>
      </c>
      <c r="AS81" s="877">
        <f>IF(AT81=" "," ",1-AT81)</f>
        <v>1</v>
      </c>
      <c r="AT81" s="886">
        <f>IF(AO81=" "," ",AO81)</f>
        <v>0</v>
      </c>
      <c r="AU81" s="877">
        <f t="shared" si="64"/>
        <v>0.18454545454545451</v>
      </c>
      <c r="AV81" s="877">
        <f t="shared" si="65"/>
        <v>0.60636363636363644</v>
      </c>
      <c r="AW81" s="877">
        <f t="shared" si="66"/>
        <v>0.20909090909090911</v>
      </c>
      <c r="AX81" s="886">
        <f t="shared" si="67"/>
        <v>0</v>
      </c>
      <c r="AY81" s="1119"/>
    </row>
    <row r="82" spans="1:51" ht="15">
      <c r="A82" s="1108"/>
      <c r="B82" s="961" t="s">
        <v>1316</v>
      </c>
      <c r="C82" s="927"/>
      <c r="D82" s="928" t="s">
        <v>135</v>
      </c>
      <c r="E82" s="928">
        <v>58</v>
      </c>
      <c r="F82" s="929">
        <v>2</v>
      </c>
      <c r="G82" s="930">
        <v>1.2</v>
      </c>
      <c r="H82" s="942">
        <v>1.914670586111241</v>
      </c>
      <c r="I82" s="943">
        <v>0.25</v>
      </c>
      <c r="J82" s="943">
        <v>9.94</v>
      </c>
      <c r="K82" s="943">
        <v>0.12233040000000001</v>
      </c>
      <c r="L82" s="944">
        <v>0</v>
      </c>
      <c r="M82" s="934">
        <v>9.0747958425229243</v>
      </c>
      <c r="N82" s="934">
        <v>4.5870922042189397</v>
      </c>
      <c r="O82" s="934">
        <v>10.338111953258133</v>
      </c>
      <c r="P82" s="934">
        <v>0</v>
      </c>
      <c r="Q82" s="934">
        <v>0.55788039859392347</v>
      </c>
      <c r="R82" s="935">
        <f t="shared" si="48"/>
        <v>1.4453019484126006</v>
      </c>
      <c r="S82" s="898">
        <f t="shared" si="49"/>
        <v>8.7043784277866951</v>
      </c>
      <c r="T82" s="898">
        <f t="shared" si="50"/>
        <v>6.4864845654314163</v>
      </c>
      <c r="U82" s="898">
        <f t="shared" si="51"/>
        <v>2.9951652609266821</v>
      </c>
      <c r="V82" s="898">
        <f t="shared" si="52"/>
        <v>0.93516526092668184</v>
      </c>
      <c r="W82" s="945">
        <f t="shared" si="53"/>
        <v>2.5449300809158495</v>
      </c>
      <c r="X82" s="656">
        <f t="shared" si="41"/>
        <v>1</v>
      </c>
      <c r="Y82" s="656">
        <f t="shared" si="41"/>
        <v>1</v>
      </c>
      <c r="Z82" s="656">
        <f t="shared" si="41"/>
        <v>1</v>
      </c>
      <c r="AA82" s="656">
        <f t="shared" si="41"/>
        <v>0</v>
      </c>
      <c r="AB82" s="946">
        <f t="shared" si="41"/>
        <v>1</v>
      </c>
      <c r="AC82" s="1108"/>
      <c r="AD82" s="1080" t="s">
        <v>233</v>
      </c>
      <c r="AE82" s="12">
        <f t="shared" si="63"/>
        <v>77</v>
      </c>
      <c r="AF82" s="949" t="s">
        <v>233</v>
      </c>
      <c r="AG82" s="698">
        <f t="shared" si="54"/>
        <v>0.33333333333333331</v>
      </c>
      <c r="AH82" s="698">
        <f t="shared" si="55"/>
        <v>0.16666666666666666</v>
      </c>
      <c r="AI82" s="698">
        <f t="shared" si="56"/>
        <v>0</v>
      </c>
      <c r="AJ82" s="698">
        <f t="shared" si="57"/>
        <v>0</v>
      </c>
      <c r="AK82" s="710">
        <f t="shared" si="58"/>
        <v>0.5</v>
      </c>
      <c r="AL82" s="891">
        <f t="shared" si="59"/>
        <v>0.83333333333333326</v>
      </c>
      <c r="AM82" s="698">
        <f t="shared" si="60"/>
        <v>0.16666666666666666</v>
      </c>
      <c r="AN82" s="698">
        <f t="shared" si="61"/>
        <v>0</v>
      </c>
      <c r="AO82" s="710">
        <f t="shared" si="62"/>
        <v>0</v>
      </c>
      <c r="AP82" s="885">
        <v>3</v>
      </c>
      <c r="AQ82" s="877">
        <v>0</v>
      </c>
      <c r="AR82" s="877">
        <v>0</v>
      </c>
      <c r="AS82" s="877">
        <f>IF(AT82=" "," ",1-AT82)</f>
        <v>0</v>
      </c>
      <c r="AT82" s="886">
        <v>1</v>
      </c>
      <c r="AU82" s="877">
        <f t="shared" si="64"/>
        <v>0.72499999999999998</v>
      </c>
      <c r="AV82" s="877">
        <f t="shared" si="65"/>
        <v>0.14499999999999999</v>
      </c>
      <c r="AW82" s="877">
        <f t="shared" si="66"/>
        <v>0</v>
      </c>
      <c r="AX82" s="886">
        <f t="shared" si="67"/>
        <v>0.13</v>
      </c>
      <c r="AY82" s="1119"/>
    </row>
    <row r="83" spans="1:51" ht="15">
      <c r="A83" s="1108"/>
      <c r="B83" s="961">
        <v>3</v>
      </c>
      <c r="C83" s="927"/>
      <c r="D83" s="928" t="s">
        <v>118</v>
      </c>
      <c r="E83" s="928">
        <v>28</v>
      </c>
      <c r="F83" s="929">
        <v>3</v>
      </c>
      <c r="G83" s="930">
        <v>4.8</v>
      </c>
      <c r="H83" s="942">
        <v>6.3601599999999996</v>
      </c>
      <c r="I83" s="943">
        <v>2.4886900000000001</v>
      </c>
      <c r="J83" s="943">
        <v>63.371400000000001</v>
      </c>
      <c r="K83" s="943">
        <v>0.83024399999999998</v>
      </c>
      <c r="L83" s="944">
        <v>0</v>
      </c>
      <c r="M83" s="934">
        <v>5.9658699055988205</v>
      </c>
      <c r="N83" s="934">
        <v>0.42823091287239518</v>
      </c>
      <c r="O83" s="934">
        <v>17.60589918152878</v>
      </c>
      <c r="P83" s="934">
        <v>0</v>
      </c>
      <c r="Q83" s="934">
        <v>0.24819996413906853</v>
      </c>
      <c r="R83" s="935">
        <f t="shared" si="48"/>
        <v>5.3028288411155717</v>
      </c>
      <c r="S83" s="898">
        <f t="shared" si="49"/>
        <v>4.75</v>
      </c>
      <c r="T83" s="898">
        <f t="shared" si="50"/>
        <v>11.9</v>
      </c>
      <c r="U83" s="898">
        <f t="shared" si="51"/>
        <v>0.76589292799999997</v>
      </c>
      <c r="V83" s="898">
        <f t="shared" si="52"/>
        <v>0</v>
      </c>
      <c r="W83" s="945">
        <f t="shared" si="53"/>
        <v>1.3559236960000001</v>
      </c>
      <c r="X83" s="656">
        <f t="shared" si="41"/>
        <v>0</v>
      </c>
      <c r="Y83" s="656">
        <f t="shared" si="41"/>
        <v>1</v>
      </c>
      <c r="Z83" s="656">
        <f t="shared" si="41"/>
        <v>0</v>
      </c>
      <c r="AA83" s="656">
        <f t="shared" si="41"/>
        <v>0</v>
      </c>
      <c r="AB83" s="946">
        <f t="shared" si="41"/>
        <v>0</v>
      </c>
      <c r="AC83" s="1108"/>
      <c r="AD83" s="1080" t="s">
        <v>234</v>
      </c>
      <c r="AE83" s="12">
        <f t="shared" si="63"/>
        <v>78</v>
      </c>
      <c r="AF83" s="949" t="s">
        <v>233</v>
      </c>
      <c r="AG83" s="698">
        <f t="shared" si="54"/>
        <v>0.33333333333333331</v>
      </c>
      <c r="AH83" s="698">
        <f t="shared" si="55"/>
        <v>0.16666666666666666</v>
      </c>
      <c r="AI83" s="698">
        <f t="shared" si="56"/>
        <v>0</v>
      </c>
      <c r="AJ83" s="698">
        <f t="shared" si="57"/>
        <v>0</v>
      </c>
      <c r="AK83" s="710">
        <f t="shared" si="58"/>
        <v>0.5</v>
      </c>
      <c r="AL83" s="891">
        <f t="shared" si="59"/>
        <v>0.83333333333333326</v>
      </c>
      <c r="AM83" s="698">
        <f t="shared" si="60"/>
        <v>0.16666666666666666</v>
      </c>
      <c r="AN83" s="698">
        <f t="shared" si="61"/>
        <v>0</v>
      </c>
      <c r="AO83" s="710">
        <f t="shared" si="62"/>
        <v>0</v>
      </c>
      <c r="AP83" s="885">
        <v>3</v>
      </c>
      <c r="AQ83" s="877">
        <v>0</v>
      </c>
      <c r="AR83" s="877">
        <v>0</v>
      </c>
      <c r="AS83" s="877">
        <f>IF(AT83=" "," ",1-AT83)</f>
        <v>0</v>
      </c>
      <c r="AT83" s="886">
        <v>1</v>
      </c>
      <c r="AU83" s="877">
        <f t="shared" si="64"/>
        <v>0.72499999999999998</v>
      </c>
      <c r="AV83" s="877">
        <f t="shared" si="65"/>
        <v>0.14499999999999999</v>
      </c>
      <c r="AW83" s="877">
        <f t="shared" si="66"/>
        <v>0</v>
      </c>
      <c r="AX83" s="886">
        <f t="shared" si="67"/>
        <v>0.13</v>
      </c>
      <c r="AY83" s="1119"/>
    </row>
    <row r="84" spans="1:51" ht="15">
      <c r="A84" s="1108"/>
      <c r="B84" s="961">
        <v>4</v>
      </c>
      <c r="C84" s="927"/>
      <c r="D84" s="928" t="s">
        <v>118</v>
      </c>
      <c r="E84" s="928">
        <v>28</v>
      </c>
      <c r="F84" s="929">
        <v>3</v>
      </c>
      <c r="G84" s="930">
        <v>4.8</v>
      </c>
      <c r="H84" s="942">
        <v>12.10464</v>
      </c>
      <c r="I84" s="943">
        <v>2.4573</v>
      </c>
      <c r="J84" s="943">
        <v>60.688200000000002</v>
      </c>
      <c r="K84" s="943">
        <v>1.148598</v>
      </c>
      <c r="L84" s="944">
        <v>0</v>
      </c>
      <c r="M84" s="934">
        <v>5.9658699055988205</v>
      </c>
      <c r="N84" s="934">
        <v>0.42823091287239518</v>
      </c>
      <c r="O84" s="934">
        <v>17.60589918152878</v>
      </c>
      <c r="P84" s="934">
        <v>0</v>
      </c>
      <c r="Q84" s="934">
        <v>0.24819996413906853</v>
      </c>
      <c r="R84" s="935">
        <f t="shared" si="48"/>
        <v>4.5889963040170274</v>
      </c>
      <c r="S84" s="898">
        <f t="shared" si="49"/>
        <v>12.308523424000001</v>
      </c>
      <c r="T84" s="898">
        <f t="shared" si="50"/>
        <v>4.958523424</v>
      </c>
      <c r="U84" s="898">
        <f t="shared" si="51"/>
        <v>0.94282291200000001</v>
      </c>
      <c r="V84" s="898">
        <f t="shared" si="52"/>
        <v>0</v>
      </c>
      <c r="W84" s="945">
        <f t="shared" si="53"/>
        <v>1.6322331839999999</v>
      </c>
      <c r="X84" s="656">
        <f t="shared" si="41"/>
        <v>1</v>
      </c>
      <c r="Y84" s="656">
        <f t="shared" si="41"/>
        <v>1</v>
      </c>
      <c r="Z84" s="656">
        <f t="shared" si="41"/>
        <v>0</v>
      </c>
      <c r="AA84" s="656">
        <f t="shared" si="41"/>
        <v>0</v>
      </c>
      <c r="AB84" s="946">
        <f t="shared" si="41"/>
        <v>0</v>
      </c>
      <c r="AC84" s="1108"/>
      <c r="AD84" s="1080" t="s">
        <v>216</v>
      </c>
      <c r="AE84" s="12">
        <f t="shared" si="63"/>
        <v>79</v>
      </c>
      <c r="AF84" s="949" t="s">
        <v>216</v>
      </c>
      <c r="AG84" s="698">
        <f t="shared" si="54"/>
        <v>0.15</v>
      </c>
      <c r="AH84" s="698">
        <f t="shared" si="55"/>
        <v>0.05</v>
      </c>
      <c r="AI84" s="698">
        <f t="shared" si="56"/>
        <v>0.05</v>
      </c>
      <c r="AJ84" s="698">
        <f t="shared" si="57"/>
        <v>0</v>
      </c>
      <c r="AK84" s="710">
        <f t="shared" si="58"/>
        <v>0.75</v>
      </c>
      <c r="AL84" s="891">
        <f t="shared" si="59"/>
        <v>0.9</v>
      </c>
      <c r="AM84" s="698">
        <f t="shared" si="60"/>
        <v>0.05</v>
      </c>
      <c r="AN84" s="698">
        <f t="shared" si="61"/>
        <v>0.05</v>
      </c>
      <c r="AO84" s="710">
        <f t="shared" si="62"/>
        <v>0</v>
      </c>
      <c r="AP84" s="885">
        <v>3</v>
      </c>
      <c r="AQ84" s="877">
        <v>0</v>
      </c>
      <c r="AR84" s="877">
        <v>0</v>
      </c>
      <c r="AS84" s="877">
        <f>IF(AT84=" "," ",1-AT84)</f>
        <v>0</v>
      </c>
      <c r="AT84" s="886">
        <v>1</v>
      </c>
      <c r="AU84" s="877">
        <f t="shared" si="64"/>
        <v>0.78300000000000003</v>
      </c>
      <c r="AV84" s="877">
        <f t="shared" si="65"/>
        <v>4.3500000000000004E-2</v>
      </c>
      <c r="AW84" s="877">
        <f t="shared" si="66"/>
        <v>4.3500000000000004E-2</v>
      </c>
      <c r="AX84" s="886">
        <f t="shared" si="67"/>
        <v>0.13</v>
      </c>
      <c r="AY84" s="1119"/>
    </row>
    <row r="85" spans="1:51" ht="15.75" thickBot="1">
      <c r="A85" s="1108"/>
      <c r="B85" s="961">
        <v>5</v>
      </c>
      <c r="C85" s="927"/>
      <c r="D85" s="928" t="s">
        <v>118</v>
      </c>
      <c r="E85" s="928">
        <v>28</v>
      </c>
      <c r="F85" s="929">
        <v>3</v>
      </c>
      <c r="G85" s="930">
        <v>7.2</v>
      </c>
      <c r="H85" s="942">
        <v>7.8621999999999996</v>
      </c>
      <c r="I85" s="943">
        <v>1.0839099999999999</v>
      </c>
      <c r="J85" s="943">
        <v>38.805500000000002</v>
      </c>
      <c r="K85" s="943">
        <v>1.08321</v>
      </c>
      <c r="L85" s="944">
        <v>0</v>
      </c>
      <c r="M85" s="934">
        <v>5.9658699055988205</v>
      </c>
      <c r="N85" s="934">
        <v>0.42823091287239518</v>
      </c>
      <c r="O85" s="934">
        <v>17.60589918152878</v>
      </c>
      <c r="P85" s="934">
        <v>0</v>
      </c>
      <c r="Q85" s="934">
        <v>0.24819996413906853</v>
      </c>
      <c r="R85" s="935">
        <f t="shared" si="48"/>
        <v>2.9761449758833103</v>
      </c>
      <c r="S85" s="898">
        <f t="shared" si="49"/>
        <v>4.75</v>
      </c>
      <c r="T85" s="898">
        <f t="shared" si="50"/>
        <v>4.5805220200000001</v>
      </c>
      <c r="U85" s="898">
        <f t="shared" si="51"/>
        <v>0.81215576</v>
      </c>
      <c r="V85" s="898">
        <f t="shared" si="52"/>
        <v>0</v>
      </c>
      <c r="W85" s="945">
        <f t="shared" si="53"/>
        <v>1.42817182</v>
      </c>
      <c r="X85" s="656">
        <f t="shared" si="41"/>
        <v>1</v>
      </c>
      <c r="Y85" s="656">
        <f t="shared" si="41"/>
        <v>1</v>
      </c>
      <c r="Z85" s="656">
        <f t="shared" si="41"/>
        <v>0</v>
      </c>
      <c r="AA85" s="656">
        <f t="shared" si="41"/>
        <v>0</v>
      </c>
      <c r="AB85" s="946">
        <f t="shared" si="41"/>
        <v>0</v>
      </c>
      <c r="AC85" s="1108"/>
      <c r="AD85" s="1132" t="s">
        <v>1020</v>
      </c>
      <c r="AE85" s="1133" t="s">
        <v>283</v>
      </c>
      <c r="AF85" s="1134" t="s">
        <v>283</v>
      </c>
      <c r="AG85" s="1135" t="str">
        <f t="shared" si="54"/>
        <v>-</v>
      </c>
      <c r="AH85" s="1135" t="str">
        <f t="shared" si="55"/>
        <v>-</v>
      </c>
      <c r="AI85" s="1135" t="str">
        <f t="shared" si="56"/>
        <v>-</v>
      </c>
      <c r="AJ85" s="1135" t="str">
        <f t="shared" si="57"/>
        <v>-</v>
      </c>
      <c r="AK85" s="1136">
        <f t="shared" si="58"/>
        <v>1</v>
      </c>
      <c r="AL85" s="1137" t="str">
        <f t="shared" si="59"/>
        <v xml:space="preserve"> </v>
      </c>
      <c r="AM85" s="1135" t="str">
        <f t="shared" si="60"/>
        <v xml:space="preserve"> </v>
      </c>
      <c r="AN85" s="1135" t="str">
        <f t="shared" si="61"/>
        <v xml:space="preserve"> </v>
      </c>
      <c r="AO85" s="1136" t="str">
        <f t="shared" si="62"/>
        <v xml:space="preserve"> </v>
      </c>
      <c r="AP85" s="1138"/>
      <c r="AQ85" s="888"/>
      <c r="AR85" s="888"/>
      <c r="AS85" s="888" t="str">
        <f>IF(AT85=" "," ",1-AT85)</f>
        <v xml:space="preserve"> </v>
      </c>
      <c r="AT85" s="889" t="str">
        <f>IF(AO85=" "," ",AO85)</f>
        <v xml:space="preserve"> </v>
      </c>
      <c r="AU85" s="888"/>
      <c r="AV85" s="888"/>
      <c r="AW85" s="888" t="str">
        <f>IF(AX85=" "," ",1-AX85)</f>
        <v xml:space="preserve"> </v>
      </c>
      <c r="AX85" s="889" t="str">
        <f>IF(AS85=" "," ",AS85)</f>
        <v xml:space="preserve"> </v>
      </c>
      <c r="AY85" s="1119"/>
    </row>
    <row r="86" spans="1:51" ht="15">
      <c r="A86" s="1108"/>
      <c r="B86" s="961">
        <v>6</v>
      </c>
      <c r="C86" s="927"/>
      <c r="D86" s="928" t="s">
        <v>118</v>
      </c>
      <c r="E86" s="928">
        <v>28</v>
      </c>
      <c r="F86" s="929">
        <v>3</v>
      </c>
      <c r="G86" s="930">
        <v>7.2</v>
      </c>
      <c r="H86" s="942">
        <v>14.993905000000002</v>
      </c>
      <c r="I86" s="943">
        <v>1.28193</v>
      </c>
      <c r="J86" s="943">
        <v>62.257300000000001</v>
      </c>
      <c r="K86" s="943">
        <v>0.73670399999999991</v>
      </c>
      <c r="L86" s="944">
        <v>0</v>
      </c>
      <c r="M86" s="934">
        <v>5.9658699055988205</v>
      </c>
      <c r="N86" s="934">
        <v>0.42823091287239518</v>
      </c>
      <c r="O86" s="934">
        <v>17.60589918152878</v>
      </c>
      <c r="P86" s="934">
        <v>0</v>
      </c>
      <c r="Q86" s="934">
        <v>0.24819996413906853</v>
      </c>
      <c r="R86" s="935">
        <f t="shared" si="48"/>
        <v>4.401126367141007</v>
      </c>
      <c r="S86" s="898">
        <f t="shared" si="49"/>
        <v>12.565956935500001</v>
      </c>
      <c r="T86" s="898">
        <f t="shared" si="50"/>
        <v>5.2159569354999995</v>
      </c>
      <c r="U86" s="898">
        <f t="shared" si="51"/>
        <v>1.031812274</v>
      </c>
      <c r="V86" s="898">
        <f t="shared" si="52"/>
        <v>0</v>
      </c>
      <c r="W86" s="945">
        <f t="shared" si="53"/>
        <v>1.7712068305000002</v>
      </c>
      <c r="X86" s="656">
        <f t="shared" si="41"/>
        <v>1</v>
      </c>
      <c r="Y86" s="656">
        <f t="shared" si="41"/>
        <v>1</v>
      </c>
      <c r="Z86" s="656">
        <f t="shared" si="41"/>
        <v>0</v>
      </c>
      <c r="AA86" s="656">
        <f t="shared" si="41"/>
        <v>0</v>
      </c>
      <c r="AB86" s="946">
        <f t="shared" si="41"/>
        <v>0</v>
      </c>
      <c r="AC86" s="1108"/>
      <c r="AD86" s="1124"/>
      <c r="AE86" s="1120"/>
      <c r="AF86" s="1120"/>
      <c r="AG86" s="1120"/>
      <c r="AH86" s="1128"/>
      <c r="AI86" s="1119"/>
      <c r="AJ86" s="1119"/>
      <c r="AK86" s="1119"/>
      <c r="AL86" s="1119"/>
      <c r="AM86" s="1119"/>
      <c r="AN86" s="1119"/>
      <c r="AO86" s="1119"/>
      <c r="AP86" s="1122"/>
      <c r="AQ86" s="1123"/>
      <c r="AR86" s="1123"/>
      <c r="AS86" s="1123"/>
      <c r="AT86" s="1123"/>
      <c r="AU86" s="1122"/>
      <c r="AV86" s="1122"/>
      <c r="AW86" s="1122"/>
      <c r="AX86" s="1122"/>
      <c r="AY86" s="1119"/>
    </row>
    <row r="87" spans="1:51" ht="15.75" thickBot="1">
      <c r="A87" s="1108"/>
      <c r="B87" s="957" t="s">
        <v>1317</v>
      </c>
      <c r="C87" s="927"/>
      <c r="D87" s="983" t="s">
        <v>1318</v>
      </c>
      <c r="E87" s="983">
        <v>49</v>
      </c>
      <c r="F87" s="929">
        <v>3</v>
      </c>
      <c r="G87" s="930">
        <v>7.4</v>
      </c>
      <c r="H87" s="958">
        <v>3.885100555555574</v>
      </c>
      <c r="I87" s="959">
        <v>0.2</v>
      </c>
      <c r="J87" s="959">
        <v>10.593266666666667</v>
      </c>
      <c r="K87" s="959">
        <v>6.107837837837838E-2</v>
      </c>
      <c r="L87" s="944">
        <v>0</v>
      </c>
      <c r="M87" s="934">
        <v>5.9658699055988205</v>
      </c>
      <c r="N87" s="934">
        <v>0.42823091287239518</v>
      </c>
      <c r="O87" s="934">
        <v>17.60589918152878</v>
      </c>
      <c r="P87" s="934">
        <v>0</v>
      </c>
      <c r="Q87" s="934">
        <v>0.24819996413906853</v>
      </c>
      <c r="R87" s="935">
        <f t="shared" si="48"/>
        <v>0.61792178278751153</v>
      </c>
      <c r="S87" s="898">
        <f t="shared" si="49"/>
        <v>4.75</v>
      </c>
      <c r="T87" s="898">
        <f t="shared" si="50"/>
        <v>11.9</v>
      </c>
      <c r="U87" s="898">
        <f t="shared" si="51"/>
        <v>0.68966109711111168</v>
      </c>
      <c r="V87" s="898">
        <f t="shared" si="52"/>
        <v>0</v>
      </c>
      <c r="W87" s="945">
        <f t="shared" si="53"/>
        <v>1.2368733367222231</v>
      </c>
      <c r="X87" s="656">
        <f t="shared" si="41"/>
        <v>1</v>
      </c>
      <c r="Y87" s="656">
        <f t="shared" si="41"/>
        <v>1</v>
      </c>
      <c r="Z87" s="656">
        <f t="shared" si="41"/>
        <v>1</v>
      </c>
      <c r="AA87" s="656">
        <f t="shared" si="41"/>
        <v>0</v>
      </c>
      <c r="AB87" s="946">
        <f t="shared" si="41"/>
        <v>1</v>
      </c>
      <c r="AC87" s="1108"/>
      <c r="AD87" s="1124"/>
      <c r="AE87" s="1120"/>
      <c r="AF87" s="1120"/>
      <c r="AG87" s="1120"/>
      <c r="AH87" s="1128"/>
      <c r="AI87" s="1119"/>
      <c r="AJ87" s="1119"/>
      <c r="AK87" s="1119"/>
      <c r="AL87" s="1119"/>
      <c r="AM87" s="1119"/>
      <c r="AN87" s="1119"/>
      <c r="AO87" s="1119"/>
      <c r="AP87" s="1119"/>
      <c r="AQ87" s="1129"/>
      <c r="AR87" s="1129"/>
      <c r="AS87" s="1129"/>
      <c r="AT87" s="1129"/>
      <c r="AU87" s="1119"/>
      <c r="AV87" s="1119"/>
      <c r="AW87" s="1119"/>
      <c r="AX87" s="1119"/>
      <c r="AY87" s="1119"/>
    </row>
    <row r="88" spans="1:51" ht="15.75" thickBot="1">
      <c r="A88" s="1108"/>
      <c r="B88" s="957" t="s">
        <v>1319</v>
      </c>
      <c r="C88" s="927"/>
      <c r="D88" s="970" t="s">
        <v>1318</v>
      </c>
      <c r="E88" s="970">
        <v>49</v>
      </c>
      <c r="F88" s="929">
        <v>3</v>
      </c>
      <c r="G88" s="930">
        <v>7.4</v>
      </c>
      <c r="H88" s="958">
        <v>3.9461352194445083</v>
      </c>
      <c r="I88" s="959">
        <v>7.9898333333333071E-2</v>
      </c>
      <c r="J88" s="959">
        <v>10.75665396666666</v>
      </c>
      <c r="K88" s="959">
        <v>6.107837837837838E-2</v>
      </c>
      <c r="L88" s="944">
        <v>0</v>
      </c>
      <c r="M88" s="934">
        <v>5.9658699055988205</v>
      </c>
      <c r="N88" s="934">
        <v>0.42823091287239518</v>
      </c>
      <c r="O88" s="934">
        <v>17.60589918152878</v>
      </c>
      <c r="P88" s="934">
        <v>0</v>
      </c>
      <c r="Q88" s="934">
        <v>0.24819996413906853</v>
      </c>
      <c r="R88" s="935">
        <f t="shared" si="48"/>
        <v>0.62679657764774488</v>
      </c>
      <c r="S88" s="898">
        <f t="shared" si="49"/>
        <v>4.75</v>
      </c>
      <c r="T88" s="898">
        <f t="shared" si="50"/>
        <v>11.9</v>
      </c>
      <c r="U88" s="898">
        <f t="shared" si="51"/>
        <v>0.69154096475889082</v>
      </c>
      <c r="V88" s="898">
        <f t="shared" si="52"/>
        <v>0</v>
      </c>
      <c r="W88" s="945">
        <f t="shared" si="53"/>
        <v>1.239809104055281</v>
      </c>
      <c r="X88" s="656">
        <f t="shared" si="41"/>
        <v>1</v>
      </c>
      <c r="Y88" s="656">
        <f t="shared" si="41"/>
        <v>1</v>
      </c>
      <c r="Z88" s="656">
        <f t="shared" si="41"/>
        <v>1</v>
      </c>
      <c r="AA88" s="656">
        <f t="shared" si="41"/>
        <v>0</v>
      </c>
      <c r="AB88" s="946">
        <f t="shared" si="41"/>
        <v>1</v>
      </c>
      <c r="AC88" s="1108"/>
      <c r="AD88" s="1125"/>
      <c r="AE88" s="1126"/>
      <c r="AF88" s="1127"/>
      <c r="AG88" s="1127"/>
      <c r="AH88" s="984" t="s">
        <v>1146</v>
      </c>
      <c r="AI88" s="985"/>
      <c r="AJ88" s="985"/>
      <c r="AK88" s="985"/>
      <c r="AL88" s="986"/>
      <c r="AM88" s="987" t="s">
        <v>954</v>
      </c>
      <c r="AN88" s="988"/>
      <c r="AO88" s="988"/>
      <c r="AP88" s="988"/>
      <c r="AQ88" s="989"/>
      <c r="AR88" s="1129"/>
      <c r="AS88" s="1129"/>
      <c r="AT88" s="1129"/>
      <c r="AU88" s="1119"/>
      <c r="AV88" s="1119"/>
      <c r="AW88" s="1119"/>
      <c r="AX88" s="1119"/>
      <c r="AY88" s="1119"/>
    </row>
    <row r="89" spans="1:51" ht="15.75" thickBot="1">
      <c r="A89" s="1108"/>
      <c r="B89" s="926">
        <v>138</v>
      </c>
      <c r="C89" s="927"/>
      <c r="D89" s="928" t="s">
        <v>124</v>
      </c>
      <c r="E89" s="928">
        <v>50</v>
      </c>
      <c r="F89" s="929">
        <v>3</v>
      </c>
      <c r="G89" s="930">
        <v>7.4</v>
      </c>
      <c r="H89" s="942">
        <v>5.0727320000000002</v>
      </c>
      <c r="I89" s="943">
        <v>0.27177715277777698</v>
      </c>
      <c r="J89" s="943">
        <v>14.7591252777777</v>
      </c>
      <c r="K89" s="943">
        <v>0.16827960000000003</v>
      </c>
      <c r="L89" s="944">
        <v>0</v>
      </c>
      <c r="M89" s="934">
        <v>5.9658699055988205</v>
      </c>
      <c r="N89" s="934">
        <v>0.42823091287239518</v>
      </c>
      <c r="O89" s="934">
        <v>17.60589918152878</v>
      </c>
      <c r="P89" s="934">
        <v>0</v>
      </c>
      <c r="Q89" s="934">
        <v>0.24819996413906853</v>
      </c>
      <c r="R89" s="935">
        <f t="shared" si="48"/>
        <v>0.90472192954631736</v>
      </c>
      <c r="S89" s="898">
        <f t="shared" si="49"/>
        <v>4.75</v>
      </c>
      <c r="T89" s="898">
        <f t="shared" si="50"/>
        <v>11.9</v>
      </c>
      <c r="U89" s="898">
        <f t="shared" si="51"/>
        <v>0.72624014559999994</v>
      </c>
      <c r="V89" s="898">
        <f t="shared" si="52"/>
        <v>0</v>
      </c>
      <c r="W89" s="945">
        <f t="shared" si="53"/>
        <v>1.2939984092000001</v>
      </c>
      <c r="X89" s="656">
        <f t="shared" si="41"/>
        <v>1</v>
      </c>
      <c r="Y89" s="656">
        <f t="shared" si="41"/>
        <v>1</v>
      </c>
      <c r="Z89" s="656">
        <f t="shared" si="41"/>
        <v>0</v>
      </c>
      <c r="AA89" s="656">
        <f t="shared" si="41"/>
        <v>0</v>
      </c>
      <c r="AB89" s="946">
        <f t="shared" si="41"/>
        <v>1</v>
      </c>
      <c r="AC89" s="1108"/>
      <c r="AD89" s="990" t="s">
        <v>1143</v>
      </c>
      <c r="AE89" s="991" t="s">
        <v>1144</v>
      </c>
      <c r="AF89" s="992" t="s">
        <v>1145</v>
      </c>
      <c r="AG89" s="992" t="s">
        <v>1010</v>
      </c>
      <c r="AH89" s="993" t="s">
        <v>1011</v>
      </c>
      <c r="AI89" s="994" t="s">
        <v>1012</v>
      </c>
      <c r="AJ89" s="994" t="s">
        <v>1013</v>
      </c>
      <c r="AK89" s="994" t="s">
        <v>1014</v>
      </c>
      <c r="AL89" s="995" t="s">
        <v>1274</v>
      </c>
      <c r="AM89" s="996" t="s">
        <v>608</v>
      </c>
      <c r="AN89" s="997" t="s">
        <v>609</v>
      </c>
      <c r="AO89" s="997" t="s">
        <v>610</v>
      </c>
      <c r="AP89" s="997" t="s">
        <v>611</v>
      </c>
      <c r="AQ89" s="998" t="s">
        <v>1274</v>
      </c>
      <c r="AR89" s="1129"/>
      <c r="AS89" s="1129"/>
      <c r="AT89" s="1129"/>
      <c r="AU89" s="1119"/>
      <c r="AV89" s="1119"/>
      <c r="AW89" s="1119"/>
      <c r="AX89" s="1119"/>
      <c r="AY89" s="1119"/>
    </row>
    <row r="90" spans="1:51" ht="15">
      <c r="A90" s="1108"/>
      <c r="B90" s="926" t="s">
        <v>1320</v>
      </c>
      <c r="C90" s="927"/>
      <c r="D90" s="928" t="s">
        <v>124</v>
      </c>
      <c r="E90" s="928">
        <v>50</v>
      </c>
      <c r="F90" s="929">
        <v>3</v>
      </c>
      <c r="G90" s="930">
        <v>8.4</v>
      </c>
      <c r="H90" s="942">
        <v>7.4949262305555635</v>
      </c>
      <c r="I90" s="943">
        <v>0.77119490625000142</v>
      </c>
      <c r="J90" s="943">
        <v>66.072363902778079</v>
      </c>
      <c r="K90" s="943">
        <v>0.12025620000000001</v>
      </c>
      <c r="L90" s="944">
        <v>0</v>
      </c>
      <c r="M90" s="934">
        <v>5.9658699055988205</v>
      </c>
      <c r="N90" s="934">
        <v>0.42823091287239518</v>
      </c>
      <c r="O90" s="934">
        <v>17.60589918152878</v>
      </c>
      <c r="P90" s="934">
        <v>0</v>
      </c>
      <c r="Q90" s="934">
        <v>0.24819996413906853</v>
      </c>
      <c r="R90" s="935">
        <f t="shared" si="48"/>
        <v>5.3280548984354681</v>
      </c>
      <c r="S90" s="898">
        <f t="shared" si="49"/>
        <v>4.75</v>
      </c>
      <c r="T90" s="898">
        <f t="shared" si="50"/>
        <v>4.5477979271425006</v>
      </c>
      <c r="U90" s="898">
        <f t="shared" si="51"/>
        <v>0.80084372790111136</v>
      </c>
      <c r="V90" s="898">
        <f t="shared" si="52"/>
        <v>0</v>
      </c>
      <c r="W90" s="945">
        <f t="shared" si="53"/>
        <v>1.4105059516897227</v>
      </c>
      <c r="X90" s="656">
        <f t="shared" si="41"/>
        <v>0</v>
      </c>
      <c r="Y90" s="656">
        <f t="shared" si="41"/>
        <v>0</v>
      </c>
      <c r="Z90" s="656">
        <f t="shared" si="41"/>
        <v>0</v>
      </c>
      <c r="AA90" s="656">
        <f t="shared" si="41"/>
        <v>0</v>
      </c>
      <c r="AB90" s="946">
        <f t="shared" si="41"/>
        <v>0</v>
      </c>
      <c r="AC90" s="1108"/>
      <c r="AD90" s="999" t="s">
        <v>235</v>
      </c>
      <c r="AE90" s="1000">
        <v>1</v>
      </c>
      <c r="AF90" s="1001"/>
      <c r="AG90" s="1001">
        <f t="shared" ref="AG90:AG99" si="68">COUNTIF(PC_num_BC,AE90)</f>
        <v>9</v>
      </c>
      <c r="AH90" s="1002">
        <f t="shared" ref="AH90:AH99" si="69">SUMIFS(Check0_BC,PC_num_BC,$AE90)</f>
        <v>8</v>
      </c>
      <c r="AI90" s="1002">
        <f t="shared" ref="AI90:AI99" si="70">SUMIFS(Check1_BC,PC_num_BC,$AE90)</f>
        <v>2</v>
      </c>
      <c r="AJ90" s="1002">
        <f t="shared" ref="AJ90:AJ99" si="71">SUMIFS(Check2_BC,PC_num_BC,$AE90)</f>
        <v>1</v>
      </c>
      <c r="AK90" s="1002">
        <f t="shared" ref="AK90:AK99" si="72">SUMIFS(Check3_BC,PC_num_BC,$AE90)</f>
        <v>0</v>
      </c>
      <c r="AL90" s="1002">
        <f t="shared" ref="AL90:AL99" si="73">SUMIFS(Check_PGE_bc,PC_num_BC,$AE90)</f>
        <v>0</v>
      </c>
      <c r="AM90" s="1003">
        <f>(AH90-AI90)/AG90</f>
        <v>0.66666666666666663</v>
      </c>
      <c r="AN90" s="1004">
        <f>((AI90-AJ90)/AG90)</f>
        <v>0.1111111111111111</v>
      </c>
      <c r="AO90" s="1004">
        <f>((AJ90-AK90)/AG90)</f>
        <v>0.1111111111111111</v>
      </c>
      <c r="AP90" s="1004">
        <f>AK90/AG90</f>
        <v>0</v>
      </c>
      <c r="AQ90" s="1005">
        <f t="shared" ref="AQ90:AQ99" si="74">AL90/AG90</f>
        <v>0</v>
      </c>
      <c r="AR90" s="1129"/>
      <c r="AS90" s="1129"/>
      <c r="AT90" s="1129"/>
      <c r="AU90" s="1119"/>
      <c r="AV90" s="1119"/>
      <c r="AW90" s="1119"/>
      <c r="AX90" s="1119"/>
      <c r="AY90" s="1119"/>
    </row>
    <row r="91" spans="1:51" ht="15">
      <c r="A91" s="1108"/>
      <c r="B91" s="926">
        <v>1029</v>
      </c>
      <c r="C91" s="897"/>
      <c r="D91" s="928" t="s">
        <v>1321</v>
      </c>
      <c r="E91" s="928">
        <v>71</v>
      </c>
      <c r="F91" s="968">
        <v>3</v>
      </c>
      <c r="G91" s="930">
        <v>7.2</v>
      </c>
      <c r="H91" s="942">
        <v>9.4707596079234087</v>
      </c>
      <c r="I91" s="943">
        <v>4.5390212500000056</v>
      </c>
      <c r="J91" s="943">
        <v>123.02</v>
      </c>
      <c r="K91" s="943">
        <v>3.4656666666666669</v>
      </c>
      <c r="L91" s="944">
        <v>0</v>
      </c>
      <c r="M91" s="934">
        <v>5.9658699055988205</v>
      </c>
      <c r="N91" s="934">
        <v>0.42823091287239518</v>
      </c>
      <c r="O91" s="934">
        <v>17.60589918152878</v>
      </c>
      <c r="P91" s="934">
        <v>0</v>
      </c>
      <c r="Q91" s="934">
        <v>0.24819996413906853</v>
      </c>
      <c r="R91" s="935">
        <f t="shared" si="48"/>
        <v>10.843491319000981</v>
      </c>
      <c r="S91" s="898">
        <f t="shared" si="49"/>
        <v>4.75</v>
      </c>
      <c r="T91" s="898">
        <f t="shared" si="50"/>
        <v>4.7238446810659758</v>
      </c>
      <c r="U91" s="898">
        <f t="shared" si="51"/>
        <v>0.86169939592404088</v>
      </c>
      <c r="V91" s="898">
        <f t="shared" si="52"/>
        <v>0</v>
      </c>
      <c r="W91" s="945">
        <f t="shared" si="53"/>
        <v>1.5055435371411159</v>
      </c>
      <c r="X91" s="656">
        <f t="shared" si="41"/>
        <v>0</v>
      </c>
      <c r="Y91" s="656">
        <f t="shared" si="41"/>
        <v>0</v>
      </c>
      <c r="Z91" s="656">
        <f t="shared" si="41"/>
        <v>0</v>
      </c>
      <c r="AA91" s="656">
        <f t="shared" si="41"/>
        <v>0</v>
      </c>
      <c r="AB91" s="946">
        <f t="shared" si="41"/>
        <v>0</v>
      </c>
      <c r="AC91" s="1108"/>
      <c r="AD91" s="1006" t="s">
        <v>236</v>
      </c>
      <c r="AE91" s="1000">
        <v>2</v>
      </c>
      <c r="AF91" s="1001"/>
      <c r="AG91" s="1001">
        <f t="shared" si="68"/>
        <v>68</v>
      </c>
      <c r="AH91" s="1002">
        <f t="shared" si="69"/>
        <v>53</v>
      </c>
      <c r="AI91" s="1002">
        <f t="shared" si="70"/>
        <v>44</v>
      </c>
      <c r="AJ91" s="1002">
        <f t="shared" si="71"/>
        <v>28</v>
      </c>
      <c r="AK91" s="1002">
        <f t="shared" si="72"/>
        <v>5</v>
      </c>
      <c r="AL91" s="1002">
        <f t="shared" si="73"/>
        <v>24</v>
      </c>
      <c r="AM91" s="1003">
        <f>(AH91-AI91)/AG91</f>
        <v>0.13235294117647059</v>
      </c>
      <c r="AN91" s="1007">
        <f>((AI91-AJ91)/AG91)</f>
        <v>0.23529411764705882</v>
      </c>
      <c r="AO91" s="1007">
        <f>((AJ91-AK91)/AG91)</f>
        <v>0.33823529411764708</v>
      </c>
      <c r="AP91" s="1007">
        <f>AK91/AG91</f>
        <v>7.3529411764705885E-2</v>
      </c>
      <c r="AQ91" s="1008">
        <f t="shared" si="74"/>
        <v>0.35294117647058826</v>
      </c>
      <c r="AR91" s="1129"/>
      <c r="AS91" s="1129"/>
      <c r="AT91" s="1129"/>
      <c r="AU91" s="1119"/>
      <c r="AV91" s="1119"/>
      <c r="AW91" s="1119"/>
      <c r="AX91" s="1119"/>
      <c r="AY91" s="1119"/>
    </row>
    <row r="92" spans="1:51" ht="15">
      <c r="A92" s="1108"/>
      <c r="B92" s="926" t="s">
        <v>1322</v>
      </c>
      <c r="C92" s="897"/>
      <c r="D92" s="928" t="s">
        <v>1321</v>
      </c>
      <c r="E92" s="928">
        <v>71</v>
      </c>
      <c r="F92" s="968">
        <v>3</v>
      </c>
      <c r="G92" s="930">
        <v>7.2</v>
      </c>
      <c r="H92" s="942">
        <v>9.7866366940975542</v>
      </c>
      <c r="I92" s="943">
        <v>4.5395791666665506</v>
      </c>
      <c r="J92" s="943">
        <v>123.06</v>
      </c>
      <c r="K92" s="943">
        <v>3.4656666666666669</v>
      </c>
      <c r="L92" s="944">
        <v>0</v>
      </c>
      <c r="M92" s="934">
        <v>5.9658699055988205</v>
      </c>
      <c r="N92" s="934">
        <v>0.42823091287239518</v>
      </c>
      <c r="O92" s="934">
        <v>17.60589918152878</v>
      </c>
      <c r="P92" s="934">
        <v>0</v>
      </c>
      <c r="Q92" s="934">
        <v>0.24819996413906853</v>
      </c>
      <c r="R92" s="935">
        <f t="shared" si="48"/>
        <v>10.81850063691129</v>
      </c>
      <c r="S92" s="898">
        <f t="shared" si="49"/>
        <v>12.101989329444093</v>
      </c>
      <c r="T92" s="898">
        <f t="shared" si="50"/>
        <v>4.7519893294440916</v>
      </c>
      <c r="U92" s="898">
        <f t="shared" si="51"/>
        <v>0.8714284101782046</v>
      </c>
      <c r="V92" s="898">
        <f t="shared" si="52"/>
        <v>0</v>
      </c>
      <c r="W92" s="945">
        <f t="shared" si="53"/>
        <v>1.5207372249860924</v>
      </c>
      <c r="X92" s="656">
        <f t="shared" si="41"/>
        <v>1</v>
      </c>
      <c r="Y92" s="656">
        <f t="shared" si="41"/>
        <v>0</v>
      </c>
      <c r="Z92" s="656">
        <f t="shared" si="41"/>
        <v>0</v>
      </c>
      <c r="AA92" s="656">
        <f t="shared" si="41"/>
        <v>0</v>
      </c>
      <c r="AB92" s="946">
        <f t="shared" si="41"/>
        <v>0</v>
      </c>
      <c r="AC92" s="1108"/>
      <c r="AD92" s="1006" t="s">
        <v>203</v>
      </c>
      <c r="AE92" s="1000">
        <v>3</v>
      </c>
      <c r="AF92" s="1001"/>
      <c r="AG92" s="1001">
        <f t="shared" si="68"/>
        <v>33</v>
      </c>
      <c r="AH92" s="1002">
        <f t="shared" si="69"/>
        <v>28</v>
      </c>
      <c r="AI92" s="1002">
        <f t="shared" si="70"/>
        <v>26</v>
      </c>
      <c r="AJ92" s="1002">
        <f t="shared" si="71"/>
        <v>3</v>
      </c>
      <c r="AK92" s="1002">
        <f t="shared" si="72"/>
        <v>0</v>
      </c>
      <c r="AL92" s="1002">
        <f t="shared" si="73"/>
        <v>8</v>
      </c>
      <c r="AM92" s="1003">
        <f>(AH92-AI92)/AG92</f>
        <v>6.0606060606060608E-2</v>
      </c>
      <c r="AN92" s="1007">
        <f>((AI92-AJ92)/AG92)</f>
        <v>0.69696969696969702</v>
      </c>
      <c r="AO92" s="1007">
        <f>((AJ92-AK92)/AG92)</f>
        <v>9.0909090909090912E-2</v>
      </c>
      <c r="AP92" s="1007">
        <f>AK92/AG92</f>
        <v>0</v>
      </c>
      <c r="AQ92" s="1008">
        <f t="shared" si="74"/>
        <v>0.24242424242424243</v>
      </c>
      <c r="AR92" s="1129"/>
      <c r="AS92" s="1129"/>
      <c r="AT92" s="1129"/>
      <c r="AU92" s="1119"/>
      <c r="AV92" s="1119"/>
      <c r="AW92" s="1119"/>
      <c r="AX92" s="1119"/>
      <c r="AY92" s="1119"/>
    </row>
    <row r="93" spans="1:51" ht="15">
      <c r="A93" s="1108"/>
      <c r="B93" s="926">
        <v>1030</v>
      </c>
      <c r="C93" s="897"/>
      <c r="D93" s="928" t="s">
        <v>1321</v>
      </c>
      <c r="E93" s="928">
        <v>71</v>
      </c>
      <c r="F93" s="968">
        <v>3</v>
      </c>
      <c r="G93" s="965">
        <v>7.2</v>
      </c>
      <c r="H93" s="942">
        <v>12.549778630212623</v>
      </c>
      <c r="I93" s="943">
        <v>4.6948374999999505</v>
      </c>
      <c r="J93" s="943">
        <v>130.63</v>
      </c>
      <c r="K93" s="943">
        <v>3.4233333333333333</v>
      </c>
      <c r="L93" s="944">
        <v>0</v>
      </c>
      <c r="M93" s="934">
        <v>5.9658699055988205</v>
      </c>
      <c r="N93" s="934">
        <v>0.42823091287239518</v>
      </c>
      <c r="O93" s="934">
        <v>17.60589918152878</v>
      </c>
      <c r="P93" s="934">
        <v>0</v>
      </c>
      <c r="Q93" s="934">
        <v>0.24819996413906853</v>
      </c>
      <c r="R93" s="935">
        <f t="shared" si="48"/>
        <v>11.247865419151527</v>
      </c>
      <c r="S93" s="898">
        <f t="shared" si="49"/>
        <v>12.348185275951945</v>
      </c>
      <c r="T93" s="898">
        <f t="shared" si="50"/>
        <v>4.9981852759519443</v>
      </c>
      <c r="U93" s="898">
        <f t="shared" si="51"/>
        <v>0.95653318181054869</v>
      </c>
      <c r="V93" s="898">
        <f t="shared" si="52"/>
        <v>0</v>
      </c>
      <c r="W93" s="945">
        <f t="shared" si="53"/>
        <v>1.6536443521132271</v>
      </c>
      <c r="X93" s="656">
        <f t="shared" si="41"/>
        <v>1</v>
      </c>
      <c r="Y93" s="656">
        <f t="shared" si="41"/>
        <v>0</v>
      </c>
      <c r="Z93" s="656">
        <f t="shared" si="41"/>
        <v>0</v>
      </c>
      <c r="AA93" s="656">
        <f t="shared" si="41"/>
        <v>0</v>
      </c>
      <c r="AB93" s="946">
        <f t="shared" si="41"/>
        <v>0</v>
      </c>
      <c r="AC93" s="1108"/>
      <c r="AD93" s="1006" t="s">
        <v>204</v>
      </c>
      <c r="AE93" s="1000">
        <v>4</v>
      </c>
      <c r="AF93" s="1001"/>
      <c r="AG93" s="1001">
        <f t="shared" si="68"/>
        <v>49</v>
      </c>
      <c r="AH93" s="1002">
        <f t="shared" si="69"/>
        <v>48</v>
      </c>
      <c r="AI93" s="1002">
        <f t="shared" si="70"/>
        <v>37</v>
      </c>
      <c r="AJ93" s="1002">
        <f t="shared" si="71"/>
        <v>11</v>
      </c>
      <c r="AK93" s="1002">
        <f t="shared" si="72"/>
        <v>0</v>
      </c>
      <c r="AL93" s="1002">
        <f t="shared" si="73"/>
        <v>24</v>
      </c>
      <c r="AM93" s="1003">
        <f>(AH93-AI93)/AG93</f>
        <v>0.22448979591836735</v>
      </c>
      <c r="AN93" s="1007">
        <f>((AI93-AJ93)/AG93)</f>
        <v>0.53061224489795922</v>
      </c>
      <c r="AO93" s="1007">
        <f>((AJ93-AK93)/AG93)</f>
        <v>0.22448979591836735</v>
      </c>
      <c r="AP93" s="1007">
        <f>AK93/AG93</f>
        <v>0</v>
      </c>
      <c r="AQ93" s="1008">
        <f t="shared" si="74"/>
        <v>0.48979591836734693</v>
      </c>
      <c r="AR93" s="1129"/>
      <c r="AS93" s="1129"/>
      <c r="AT93" s="1129"/>
      <c r="AU93" s="1119"/>
      <c r="AV93" s="1119"/>
      <c r="AW93" s="1119"/>
      <c r="AX93" s="1119"/>
      <c r="AY93" s="1119"/>
    </row>
    <row r="94" spans="1:51" ht="15">
      <c r="A94" s="1108"/>
      <c r="B94" s="926" t="s">
        <v>1323</v>
      </c>
      <c r="C94" s="897"/>
      <c r="D94" s="928" t="s">
        <v>1321</v>
      </c>
      <c r="E94" s="928">
        <v>71</v>
      </c>
      <c r="F94" s="968">
        <v>3</v>
      </c>
      <c r="G94" s="965">
        <v>7.2</v>
      </c>
      <c r="H94" s="942">
        <v>12.375840500080052</v>
      </c>
      <c r="I94" s="943">
        <v>4.8885500000001061</v>
      </c>
      <c r="J94" s="943">
        <v>130.733</v>
      </c>
      <c r="K94" s="943">
        <v>3.4233333333333333</v>
      </c>
      <c r="L94" s="944">
        <v>0</v>
      </c>
      <c r="M94" s="934">
        <v>5.9658699055988205</v>
      </c>
      <c r="N94" s="934">
        <v>0.42823091287239518</v>
      </c>
      <c r="O94" s="934">
        <v>17.60589918152878</v>
      </c>
      <c r="P94" s="934">
        <v>0</v>
      </c>
      <c r="Q94" s="934">
        <v>0.24819996413906853</v>
      </c>
      <c r="R94" s="935">
        <f t="shared" si="48"/>
        <v>11.273595420645139</v>
      </c>
      <c r="S94" s="898">
        <f t="shared" si="49"/>
        <v>12.332687388557133</v>
      </c>
      <c r="T94" s="898">
        <f t="shared" si="50"/>
        <v>4.9826873885571326</v>
      </c>
      <c r="U94" s="898">
        <f t="shared" si="51"/>
        <v>0.95117588740246561</v>
      </c>
      <c r="V94" s="898">
        <f t="shared" si="52"/>
        <v>0</v>
      </c>
      <c r="W94" s="945">
        <f t="shared" si="53"/>
        <v>1.6452779280538505</v>
      </c>
      <c r="X94" s="656">
        <f t="shared" si="41"/>
        <v>1</v>
      </c>
      <c r="Y94" s="656">
        <f t="shared" si="41"/>
        <v>0</v>
      </c>
      <c r="Z94" s="656">
        <f t="shared" si="41"/>
        <v>0</v>
      </c>
      <c r="AA94" s="656">
        <f t="shared" si="41"/>
        <v>0</v>
      </c>
      <c r="AB94" s="946">
        <f t="shared" si="41"/>
        <v>0</v>
      </c>
      <c r="AC94" s="1108"/>
      <c r="AD94" s="1006" t="s">
        <v>205</v>
      </c>
      <c r="AE94" s="1000">
        <v>5</v>
      </c>
      <c r="AF94" s="1001"/>
      <c r="AG94" s="1001">
        <f t="shared" si="68"/>
        <v>27</v>
      </c>
      <c r="AH94" s="1002">
        <f t="shared" si="69"/>
        <v>8</v>
      </c>
      <c r="AI94" s="1002">
        <f t="shared" si="70"/>
        <v>3</v>
      </c>
      <c r="AJ94" s="1002">
        <f t="shared" si="71"/>
        <v>1</v>
      </c>
      <c r="AK94" s="1002">
        <f t="shared" si="72"/>
        <v>0</v>
      </c>
      <c r="AL94" s="1002">
        <f t="shared" si="73"/>
        <v>0</v>
      </c>
      <c r="AM94" s="1003">
        <f>(AH94-AI94)/AG94</f>
        <v>0.18518518518518517</v>
      </c>
      <c r="AN94" s="1007">
        <f>((AI94-AJ94)/AG94)</f>
        <v>7.407407407407407E-2</v>
      </c>
      <c r="AO94" s="1007">
        <f>((AJ94-AK94)/AG94)</f>
        <v>3.7037037037037035E-2</v>
      </c>
      <c r="AP94" s="1007">
        <f>AK94/AG94</f>
        <v>0</v>
      </c>
      <c r="AQ94" s="1008">
        <f t="shared" si="74"/>
        <v>0</v>
      </c>
      <c r="AR94" s="1129"/>
      <c r="AS94" s="1129"/>
      <c r="AT94" s="1129"/>
      <c r="AU94" s="1119"/>
      <c r="AV94" s="1119"/>
      <c r="AW94" s="1119"/>
      <c r="AX94" s="1119"/>
      <c r="AY94" s="1119"/>
    </row>
    <row r="95" spans="1:51" ht="15">
      <c r="A95" s="1108"/>
      <c r="B95" s="926" t="s">
        <v>1324</v>
      </c>
      <c r="C95" s="897"/>
      <c r="D95" s="928" t="s">
        <v>1321</v>
      </c>
      <c r="E95" s="928">
        <v>71</v>
      </c>
      <c r="F95" s="968">
        <v>3</v>
      </c>
      <c r="G95" s="965">
        <v>9.6</v>
      </c>
      <c r="H95" s="942">
        <v>19.291809694437809</v>
      </c>
      <c r="I95" s="943">
        <v>1.0678166666666604</v>
      </c>
      <c r="J95" s="943">
        <v>54.529000000000003</v>
      </c>
      <c r="K95" s="943">
        <v>0.6236666666666667</v>
      </c>
      <c r="L95" s="944">
        <v>0</v>
      </c>
      <c r="M95" s="934">
        <v>5.9658699055988205</v>
      </c>
      <c r="N95" s="934">
        <v>0.42823091287239518</v>
      </c>
      <c r="O95" s="934">
        <v>17.60589918152878</v>
      </c>
      <c r="P95" s="934">
        <v>0</v>
      </c>
      <c r="Q95" s="934">
        <v>0.24819996413906853</v>
      </c>
      <c r="R95" s="935">
        <f t="shared" si="48"/>
        <v>3.293259450530329</v>
      </c>
      <c r="S95" s="898">
        <f t="shared" si="49"/>
        <v>12.948900243774409</v>
      </c>
      <c r="T95" s="898">
        <f t="shared" si="50"/>
        <v>5.5989002437744091</v>
      </c>
      <c r="U95" s="898">
        <f t="shared" si="51"/>
        <v>1.1641877385886845</v>
      </c>
      <c r="V95" s="898">
        <f t="shared" si="52"/>
        <v>0</v>
      </c>
      <c r="W95" s="945">
        <f t="shared" si="53"/>
        <v>1.9779360463024585</v>
      </c>
      <c r="X95" s="656">
        <f t="shared" si="41"/>
        <v>1</v>
      </c>
      <c r="Y95" s="656">
        <f t="shared" si="41"/>
        <v>1</v>
      </c>
      <c r="Z95" s="656">
        <f t="shared" si="41"/>
        <v>0</v>
      </c>
      <c r="AA95" s="656">
        <f t="shared" si="41"/>
        <v>0</v>
      </c>
      <c r="AB95" s="946">
        <f t="shared" si="41"/>
        <v>0</v>
      </c>
      <c r="AC95" s="1108"/>
      <c r="AD95" s="1006" t="s">
        <v>206</v>
      </c>
      <c r="AE95" s="1000">
        <v>6</v>
      </c>
      <c r="AF95" s="1001"/>
      <c r="AG95" s="1001">
        <f t="shared" si="68"/>
        <v>9</v>
      </c>
      <c r="AH95" s="1002">
        <f t="shared" si="69"/>
        <v>9</v>
      </c>
      <c r="AI95" s="1002">
        <f t="shared" si="70"/>
        <v>8</v>
      </c>
      <c r="AJ95" s="1002">
        <f t="shared" si="71"/>
        <v>2</v>
      </c>
      <c r="AK95" s="1002">
        <f t="shared" si="72"/>
        <v>0</v>
      </c>
      <c r="AL95" s="1002">
        <f t="shared" si="73"/>
        <v>0</v>
      </c>
      <c r="AM95" s="1009">
        <v>0.5</v>
      </c>
      <c r="AN95" s="1010">
        <v>0.2</v>
      </c>
      <c r="AO95" s="1010">
        <v>0.3</v>
      </c>
      <c r="AP95" s="1010">
        <v>0</v>
      </c>
      <c r="AQ95" s="1008">
        <f t="shared" si="74"/>
        <v>0</v>
      </c>
      <c r="AR95" s="1129"/>
      <c r="AS95" s="1129"/>
      <c r="AT95" s="1129"/>
      <c r="AU95" s="1119"/>
      <c r="AV95" s="1119"/>
      <c r="AW95" s="1119"/>
      <c r="AX95" s="1119"/>
      <c r="AY95" s="1119"/>
    </row>
    <row r="96" spans="1:51" ht="15">
      <c r="A96" s="1108"/>
      <c r="B96" s="961">
        <v>7</v>
      </c>
      <c r="C96" s="927"/>
      <c r="D96" s="928" t="s">
        <v>1321</v>
      </c>
      <c r="E96" s="928">
        <v>71</v>
      </c>
      <c r="F96" s="929">
        <v>3</v>
      </c>
      <c r="G96" s="965">
        <v>7.2</v>
      </c>
      <c r="H96" s="942">
        <v>7.5596269999999999</v>
      </c>
      <c r="I96" s="943">
        <v>0.27651999999999999</v>
      </c>
      <c r="J96" s="943">
        <v>17.719249999999999</v>
      </c>
      <c r="K96" s="943">
        <v>0.23785440000000002</v>
      </c>
      <c r="L96" s="944">
        <v>0</v>
      </c>
      <c r="M96" s="934">
        <v>5.9658699055988205</v>
      </c>
      <c r="N96" s="934">
        <v>0.42823091287239518</v>
      </c>
      <c r="O96" s="934">
        <v>17.60589918152878</v>
      </c>
      <c r="P96" s="934">
        <v>0</v>
      </c>
      <c r="Q96" s="934">
        <v>0.24819996413906853</v>
      </c>
      <c r="R96" s="935">
        <f t="shared" si="48"/>
        <v>0.95848376557943482</v>
      </c>
      <c r="S96" s="898">
        <f t="shared" si="49"/>
        <v>4.75</v>
      </c>
      <c r="T96" s="898">
        <f t="shared" si="50"/>
        <v>4.5535627656999997</v>
      </c>
      <c r="U96" s="898">
        <f t="shared" si="51"/>
        <v>0.80283651159999991</v>
      </c>
      <c r="V96" s="898">
        <f t="shared" si="52"/>
        <v>0</v>
      </c>
      <c r="W96" s="945">
        <f t="shared" si="53"/>
        <v>1.4136180587</v>
      </c>
      <c r="X96" s="656">
        <f t="shared" si="41"/>
        <v>1</v>
      </c>
      <c r="Y96" s="656">
        <f t="shared" si="41"/>
        <v>1</v>
      </c>
      <c r="Z96" s="656">
        <f t="shared" si="41"/>
        <v>0</v>
      </c>
      <c r="AA96" s="656">
        <f t="shared" si="41"/>
        <v>0</v>
      </c>
      <c r="AB96" s="946">
        <f t="shared" si="41"/>
        <v>1</v>
      </c>
      <c r="AC96" s="1108"/>
      <c r="AD96" s="1006" t="s">
        <v>207</v>
      </c>
      <c r="AE96" s="1000">
        <v>7</v>
      </c>
      <c r="AF96" s="1001"/>
      <c r="AG96" s="1001">
        <f t="shared" si="68"/>
        <v>2</v>
      </c>
      <c r="AH96" s="1002">
        <f t="shared" si="69"/>
        <v>1</v>
      </c>
      <c r="AI96" s="1002">
        <f t="shared" si="70"/>
        <v>1</v>
      </c>
      <c r="AJ96" s="1002">
        <f t="shared" si="71"/>
        <v>0</v>
      </c>
      <c r="AK96" s="1002">
        <f t="shared" si="72"/>
        <v>0</v>
      </c>
      <c r="AL96" s="1002">
        <f t="shared" si="73"/>
        <v>0</v>
      </c>
      <c r="AM96" s="1009">
        <v>0.5</v>
      </c>
      <c r="AN96" s="1010">
        <v>0.5</v>
      </c>
      <c r="AO96" s="1010">
        <v>0</v>
      </c>
      <c r="AP96" s="1010">
        <v>0</v>
      </c>
      <c r="AQ96" s="1008">
        <f t="shared" si="74"/>
        <v>0</v>
      </c>
      <c r="AR96" s="1129"/>
      <c r="AS96" s="1129"/>
      <c r="AT96" s="1129"/>
      <c r="AU96" s="1119"/>
      <c r="AV96" s="1119"/>
      <c r="AW96" s="1119"/>
      <c r="AX96" s="1119"/>
      <c r="AY96" s="1119"/>
    </row>
    <row r="97" spans="1:51" ht="15">
      <c r="A97" s="1108"/>
      <c r="B97" s="961">
        <v>76</v>
      </c>
      <c r="C97" s="927"/>
      <c r="D97" s="928" t="s">
        <v>1321</v>
      </c>
      <c r="E97" s="928">
        <v>71</v>
      </c>
      <c r="F97" s="929">
        <v>3</v>
      </c>
      <c r="G97" s="965">
        <v>7.2</v>
      </c>
      <c r="H97" s="942">
        <v>6.3316800000000004</v>
      </c>
      <c r="I97" s="943">
        <v>0.51750441000000003</v>
      </c>
      <c r="J97" s="943">
        <v>26.646049999999999</v>
      </c>
      <c r="K97" s="943">
        <v>0</v>
      </c>
      <c r="L97" s="944">
        <v>0</v>
      </c>
      <c r="M97" s="934">
        <v>5.9658699055988205</v>
      </c>
      <c r="N97" s="934">
        <v>0.42823091287239518</v>
      </c>
      <c r="O97" s="934">
        <v>17.60589918152878</v>
      </c>
      <c r="P97" s="934">
        <v>0</v>
      </c>
      <c r="Q97" s="934">
        <v>0.24819996413906853</v>
      </c>
      <c r="R97" s="935">
        <f t="shared" si="48"/>
        <v>1.8420528244732526</v>
      </c>
      <c r="S97" s="898">
        <f t="shared" si="49"/>
        <v>4.75</v>
      </c>
      <c r="T97" s="898">
        <f t="shared" si="50"/>
        <v>11.9</v>
      </c>
      <c r="U97" s="898">
        <f t="shared" si="51"/>
        <v>0.76501574399999994</v>
      </c>
      <c r="V97" s="898">
        <f t="shared" si="52"/>
        <v>0</v>
      </c>
      <c r="W97" s="945">
        <f t="shared" si="53"/>
        <v>1.3545538079999999</v>
      </c>
      <c r="X97" s="656">
        <f t="shared" si="41"/>
        <v>1</v>
      </c>
      <c r="Y97" s="656">
        <f t="shared" si="41"/>
        <v>1</v>
      </c>
      <c r="Z97" s="656">
        <f t="shared" si="41"/>
        <v>0</v>
      </c>
      <c r="AA97" s="656">
        <f t="shared" si="41"/>
        <v>0</v>
      </c>
      <c r="AB97" s="946">
        <f t="shared" si="41"/>
        <v>0</v>
      </c>
      <c r="AC97" s="1108"/>
      <c r="AD97" s="1006" t="s">
        <v>208</v>
      </c>
      <c r="AE97" s="1000">
        <v>8</v>
      </c>
      <c r="AF97" s="1001"/>
      <c r="AG97" s="1001">
        <f t="shared" si="68"/>
        <v>11</v>
      </c>
      <c r="AH97" s="1002">
        <f t="shared" si="69"/>
        <v>6</v>
      </c>
      <c r="AI97" s="1002">
        <f t="shared" si="70"/>
        <v>5</v>
      </c>
      <c r="AJ97" s="1002">
        <f t="shared" si="71"/>
        <v>1</v>
      </c>
      <c r="AK97" s="1002">
        <f t="shared" si="72"/>
        <v>0</v>
      </c>
      <c r="AL97" s="1002">
        <f t="shared" si="73"/>
        <v>0</v>
      </c>
      <c r="AM97" s="1003">
        <f>(AH97-AI97)/AG97</f>
        <v>9.0909090909090912E-2</v>
      </c>
      <c r="AN97" s="1007">
        <f>((AI97-AJ97)/AG97)</f>
        <v>0.36363636363636365</v>
      </c>
      <c r="AO97" s="1007">
        <f>((AJ97-AK97)/AG97)</f>
        <v>9.0909090909090912E-2</v>
      </c>
      <c r="AP97" s="1007">
        <f>AK97/AG97</f>
        <v>0</v>
      </c>
      <c r="AQ97" s="1008">
        <f t="shared" si="74"/>
        <v>0</v>
      </c>
      <c r="AR97" s="1129"/>
      <c r="AS97" s="1129"/>
      <c r="AT97" s="1129"/>
      <c r="AU97" s="1119"/>
      <c r="AV97" s="1119"/>
      <c r="AW97" s="1119"/>
      <c r="AX97" s="1119"/>
      <c r="AY97" s="1119"/>
    </row>
    <row r="98" spans="1:51" ht="15">
      <c r="A98" s="1108"/>
      <c r="B98" s="965">
        <v>1044</v>
      </c>
      <c r="C98" s="966"/>
      <c r="D98" s="928" t="s">
        <v>1321</v>
      </c>
      <c r="E98" s="928">
        <v>71</v>
      </c>
      <c r="F98" s="968">
        <v>3</v>
      </c>
      <c r="G98" s="965">
        <v>7.2</v>
      </c>
      <c r="H98" s="958">
        <v>9.6599868935023743</v>
      </c>
      <c r="I98" s="959">
        <v>2.0296000000000234</v>
      </c>
      <c r="J98" s="959">
        <v>50.878999999999998</v>
      </c>
      <c r="K98" s="959">
        <v>0.34999999999999992</v>
      </c>
      <c r="L98" s="944">
        <v>0</v>
      </c>
      <c r="M98" s="934">
        <v>5.9658699055988205</v>
      </c>
      <c r="N98" s="934">
        <v>0.42823091287239518</v>
      </c>
      <c r="O98" s="934">
        <v>17.60589918152878</v>
      </c>
      <c r="P98" s="934">
        <v>0</v>
      </c>
      <c r="Q98" s="934">
        <v>0.24819996413906853</v>
      </c>
      <c r="R98" s="935">
        <f t="shared" si="48"/>
        <v>3.795579673880177</v>
      </c>
      <c r="S98" s="898">
        <f t="shared" si="49"/>
        <v>4.75</v>
      </c>
      <c r="T98" s="898">
        <f t="shared" si="50"/>
        <v>4.7407048322110619</v>
      </c>
      <c r="U98" s="898">
        <f t="shared" si="51"/>
        <v>0.86752759631987308</v>
      </c>
      <c r="V98" s="898">
        <f t="shared" si="52"/>
        <v>0</v>
      </c>
      <c r="W98" s="945">
        <f t="shared" si="53"/>
        <v>1.5146453695774642</v>
      </c>
      <c r="X98" s="656">
        <f t="shared" si="41"/>
        <v>1</v>
      </c>
      <c r="Y98" s="656">
        <f t="shared" si="41"/>
        <v>1</v>
      </c>
      <c r="Z98" s="656">
        <f t="shared" si="41"/>
        <v>0</v>
      </c>
      <c r="AA98" s="656">
        <f t="shared" si="41"/>
        <v>0</v>
      </c>
      <c r="AB98" s="946">
        <f t="shared" si="41"/>
        <v>0</v>
      </c>
      <c r="AC98" s="1108"/>
      <c r="AD98" s="1006" t="s">
        <v>209</v>
      </c>
      <c r="AE98" s="1000">
        <v>9</v>
      </c>
      <c r="AF98" s="1001"/>
      <c r="AG98" s="1001">
        <f t="shared" si="68"/>
        <v>6</v>
      </c>
      <c r="AH98" s="1002">
        <f t="shared" si="69"/>
        <v>5</v>
      </c>
      <c r="AI98" s="1002">
        <f t="shared" si="70"/>
        <v>4</v>
      </c>
      <c r="AJ98" s="1002">
        <f t="shared" si="71"/>
        <v>1</v>
      </c>
      <c r="AK98" s="1002">
        <f t="shared" si="72"/>
        <v>0</v>
      </c>
      <c r="AL98" s="1002">
        <f t="shared" si="73"/>
        <v>0</v>
      </c>
      <c r="AM98" s="1003">
        <f>(AH98-AI98)/AG98</f>
        <v>0.16666666666666666</v>
      </c>
      <c r="AN98" s="1007">
        <f>((AI98-AJ98)/AG98)</f>
        <v>0.5</v>
      </c>
      <c r="AO98" s="1007">
        <f>((AJ98-AK98)/AG98)</f>
        <v>0.16666666666666666</v>
      </c>
      <c r="AP98" s="1007">
        <f>AK98/AG98</f>
        <v>0</v>
      </c>
      <c r="AQ98" s="1008">
        <f t="shared" si="74"/>
        <v>0</v>
      </c>
      <c r="AR98" s="1129"/>
      <c r="AS98" s="1129"/>
      <c r="AT98" s="1129"/>
      <c r="AU98" s="1119"/>
      <c r="AV98" s="1119"/>
      <c r="AW98" s="1119"/>
      <c r="AX98" s="1119"/>
      <c r="AY98" s="1119"/>
    </row>
    <row r="99" spans="1:51" ht="15.75" thickBot="1">
      <c r="A99" s="1108"/>
      <c r="B99" s="965">
        <v>1046</v>
      </c>
      <c r="C99" s="966"/>
      <c r="D99" s="928" t="s">
        <v>1321</v>
      </c>
      <c r="E99" s="928">
        <v>71</v>
      </c>
      <c r="F99" s="968">
        <v>3</v>
      </c>
      <c r="G99" s="965">
        <v>9.6</v>
      </c>
      <c r="H99" s="958">
        <v>7.6086155510213587</v>
      </c>
      <c r="I99" s="959">
        <v>0.26122083333332646</v>
      </c>
      <c r="J99" s="959">
        <v>16.978000000000002</v>
      </c>
      <c r="K99" s="959">
        <v>0.20333333333333337</v>
      </c>
      <c r="L99" s="944">
        <v>0</v>
      </c>
      <c r="M99" s="934">
        <v>5.9658699055988205</v>
      </c>
      <c r="N99" s="934">
        <v>0.42823091287239518</v>
      </c>
      <c r="O99" s="934">
        <v>17.60589918152878</v>
      </c>
      <c r="P99" s="934">
        <v>0</v>
      </c>
      <c r="Q99" s="934">
        <v>0.24819996413906853</v>
      </c>
      <c r="R99" s="935">
        <f t="shared" si="48"/>
        <v>0.88144725135463986</v>
      </c>
      <c r="S99" s="898">
        <f t="shared" si="49"/>
        <v>4.75</v>
      </c>
      <c r="T99" s="898">
        <f t="shared" si="50"/>
        <v>4.5579276455960027</v>
      </c>
      <c r="U99" s="898">
        <f t="shared" si="51"/>
        <v>0.80434535897145776</v>
      </c>
      <c r="V99" s="898">
        <f t="shared" si="52"/>
        <v>0</v>
      </c>
      <c r="W99" s="945">
        <f t="shared" si="53"/>
        <v>1.4159744080041274</v>
      </c>
      <c r="X99" s="656">
        <f t="shared" si="41"/>
        <v>1</v>
      </c>
      <c r="Y99" s="656">
        <f t="shared" si="41"/>
        <v>1</v>
      </c>
      <c r="Z99" s="656">
        <f t="shared" si="41"/>
        <v>0</v>
      </c>
      <c r="AA99" s="656">
        <f t="shared" si="41"/>
        <v>0</v>
      </c>
      <c r="AB99" s="946">
        <f t="shared" si="41"/>
        <v>1</v>
      </c>
      <c r="AC99" s="1108"/>
      <c r="AD99" s="1011" t="s">
        <v>210</v>
      </c>
      <c r="AE99" s="1012">
        <v>10</v>
      </c>
      <c r="AF99" s="1013"/>
      <c r="AG99" s="1013">
        <f t="shared" si="68"/>
        <v>10</v>
      </c>
      <c r="AH99" s="1002">
        <f t="shared" si="69"/>
        <v>2</v>
      </c>
      <c r="AI99" s="1002">
        <f t="shared" si="70"/>
        <v>0</v>
      </c>
      <c r="AJ99" s="1002">
        <f t="shared" si="71"/>
        <v>0</v>
      </c>
      <c r="AK99" s="1002">
        <f t="shared" si="72"/>
        <v>0</v>
      </c>
      <c r="AL99" s="1002">
        <f t="shared" si="73"/>
        <v>0</v>
      </c>
      <c r="AM99" s="1003">
        <f>(AH99-AI99)/AG99</f>
        <v>0.2</v>
      </c>
      <c r="AN99" s="1014">
        <f>((AI99-AJ99)/AG99)</f>
        <v>0</v>
      </c>
      <c r="AO99" s="1014">
        <f>((AJ99-AK99)/AG99)</f>
        <v>0</v>
      </c>
      <c r="AP99" s="1014">
        <f>AK99/AG99</f>
        <v>0</v>
      </c>
      <c r="AQ99" s="1015">
        <f t="shared" si="74"/>
        <v>0</v>
      </c>
      <c r="AR99" s="1129"/>
      <c r="AS99" s="1129"/>
      <c r="AT99" s="1129"/>
      <c r="AU99" s="1119"/>
      <c r="AV99" s="1119"/>
      <c r="AW99" s="1119"/>
      <c r="AX99" s="1119"/>
      <c r="AY99" s="1119"/>
    </row>
    <row r="100" spans="1:51" ht="15">
      <c r="A100" s="1108"/>
      <c r="B100" s="926">
        <v>1027</v>
      </c>
      <c r="C100" s="897"/>
      <c r="D100" s="928" t="s">
        <v>1321</v>
      </c>
      <c r="E100" s="928">
        <v>71</v>
      </c>
      <c r="F100" s="968">
        <v>3</v>
      </c>
      <c r="G100" s="965">
        <v>9.6</v>
      </c>
      <c r="H100" s="942">
        <v>14.060893889838189</v>
      </c>
      <c r="I100" s="943">
        <v>2.9963079166666367</v>
      </c>
      <c r="J100" s="943">
        <v>73.807000000000002</v>
      </c>
      <c r="K100" s="943">
        <v>2.1666666666666665</v>
      </c>
      <c r="L100" s="944">
        <v>0</v>
      </c>
      <c r="M100" s="934">
        <v>5.9658699055988205</v>
      </c>
      <c r="N100" s="934">
        <v>0.42823091287239518</v>
      </c>
      <c r="O100" s="934">
        <v>17.60589918152878</v>
      </c>
      <c r="P100" s="934">
        <v>0</v>
      </c>
      <c r="Q100" s="934">
        <v>0.24819996413906853</v>
      </c>
      <c r="R100" s="935">
        <f t="shared" si="48"/>
        <v>5.7611577542669066</v>
      </c>
      <c r="S100" s="898">
        <f t="shared" si="49"/>
        <v>12.482825645584583</v>
      </c>
      <c r="T100" s="898">
        <f t="shared" si="50"/>
        <v>5.1328256455845827</v>
      </c>
      <c r="U100" s="898">
        <f t="shared" si="51"/>
        <v>1.0030755318070161</v>
      </c>
      <c r="V100" s="898">
        <f t="shared" si="52"/>
        <v>0</v>
      </c>
      <c r="W100" s="945">
        <f t="shared" si="53"/>
        <v>1.7263289961012169</v>
      </c>
      <c r="X100" s="656">
        <f t="shared" si="41"/>
        <v>1</v>
      </c>
      <c r="Y100" s="656">
        <f t="shared" si="41"/>
        <v>0</v>
      </c>
      <c r="Z100" s="656">
        <f t="shared" si="41"/>
        <v>0</v>
      </c>
      <c r="AA100" s="656">
        <f t="shared" si="41"/>
        <v>0</v>
      </c>
      <c r="AB100" s="946">
        <f t="shared" si="41"/>
        <v>0</v>
      </c>
      <c r="AC100" s="1108"/>
      <c r="AD100" s="1006" t="s">
        <v>107</v>
      </c>
      <c r="AE100" s="1016">
        <v>3</v>
      </c>
      <c r="AF100" s="1017"/>
      <c r="AG100" s="1017">
        <f t="shared" ref="AG100:AG118" si="75">COUNTIF(Application_num_bc,AE100)</f>
        <v>0</v>
      </c>
      <c r="AH100" s="1018">
        <f t="shared" ref="AH100:AH118" si="76">SUMIFS(Check0_BC,Application_num_bc,$AE100)</f>
        <v>0</v>
      </c>
      <c r="AI100" s="1019">
        <f t="shared" ref="AI100:AI118" si="77">SUMIFS(Check1_BC,Application_num_bc,$AE100)</f>
        <v>0</v>
      </c>
      <c r="AJ100" s="1019">
        <f t="shared" ref="AJ100:AJ118" si="78">SUMIFS(Check2_BC,Application_num_bc,$AE100)</f>
        <v>0</v>
      </c>
      <c r="AK100" s="1019">
        <f t="shared" ref="AK100:AK118" si="79">SUMIFS(Check3_BC,Application_num_bc,$AE100)</f>
        <v>0</v>
      </c>
      <c r="AL100" s="1020">
        <f t="shared" ref="AL100:AL118" si="80">SUMIFS(Check_PGE_bc,Application_num_bc,$AE100)</f>
        <v>0</v>
      </c>
      <c r="AM100" s="1021" t="str">
        <f t="shared" ref="AM100:AM131" si="81">IF(AG100=0,"-",(AH100-AI100)/AG100)</f>
        <v>-</v>
      </c>
      <c r="AN100" s="1022" t="str">
        <f t="shared" ref="AN100:AN131" si="82">IF(AG100=0,"-",((AI100-AJ100)/AG100))</f>
        <v>-</v>
      </c>
      <c r="AO100" s="1022" t="str">
        <f t="shared" ref="AO100:AO131" si="83">IF(AG100=0,"-",((AJ100-AK100)/AG100))</f>
        <v>-</v>
      </c>
      <c r="AP100" s="1022" t="str">
        <f t="shared" ref="AP100:AP131" si="84">IF(AG100=0,"-",AK100/AG100)</f>
        <v>-</v>
      </c>
      <c r="AQ100" s="1005" t="str">
        <f t="shared" ref="AQ100:AQ131" si="85">IF(AG100=0,"-",AL100/AG100)</f>
        <v>-</v>
      </c>
      <c r="AR100" s="1129"/>
      <c r="AS100" s="1129"/>
      <c r="AT100" s="1129"/>
      <c r="AU100" s="1119"/>
      <c r="AV100" s="1119"/>
      <c r="AW100" s="1119"/>
      <c r="AX100" s="1119"/>
      <c r="AY100" s="1119"/>
    </row>
    <row r="101" spans="1:51" ht="15">
      <c r="A101" s="1108"/>
      <c r="B101" s="926">
        <v>1028</v>
      </c>
      <c r="C101" s="897"/>
      <c r="D101" s="928" t="s">
        <v>1321</v>
      </c>
      <c r="E101" s="928">
        <v>71</v>
      </c>
      <c r="F101" s="968">
        <v>3</v>
      </c>
      <c r="G101" s="965">
        <v>7.2</v>
      </c>
      <c r="H101" s="942">
        <v>6.2401222126390037</v>
      </c>
      <c r="I101" s="943">
        <v>2.684704166666616</v>
      </c>
      <c r="J101" s="943">
        <v>66.481999999999999</v>
      </c>
      <c r="K101" s="943">
        <v>0.77</v>
      </c>
      <c r="L101" s="944">
        <v>0</v>
      </c>
      <c r="M101" s="934">
        <v>5.9658699055988205</v>
      </c>
      <c r="N101" s="934">
        <v>0.42823091287239518</v>
      </c>
      <c r="O101" s="934">
        <v>17.60589918152878</v>
      </c>
      <c r="P101" s="934">
        <v>0</v>
      </c>
      <c r="Q101" s="934">
        <v>0.24819996413906853</v>
      </c>
      <c r="R101" s="935">
        <f t="shared" si="48"/>
        <v>5.5867345421841126</v>
      </c>
      <c r="S101" s="898">
        <f t="shared" si="49"/>
        <v>4.75</v>
      </c>
      <c r="T101" s="898">
        <f t="shared" si="50"/>
        <v>11.9</v>
      </c>
      <c r="U101" s="898">
        <f t="shared" si="51"/>
        <v>0.76219576414928125</v>
      </c>
      <c r="V101" s="898">
        <f t="shared" si="52"/>
        <v>0</v>
      </c>
      <c r="W101" s="945">
        <f t="shared" si="53"/>
        <v>1.3501498784279362</v>
      </c>
      <c r="X101" s="656">
        <f t="shared" si="41"/>
        <v>0</v>
      </c>
      <c r="Y101" s="656">
        <f t="shared" si="41"/>
        <v>1</v>
      </c>
      <c r="Z101" s="656">
        <f t="shared" si="41"/>
        <v>0</v>
      </c>
      <c r="AA101" s="656">
        <f t="shared" si="41"/>
        <v>0</v>
      </c>
      <c r="AB101" s="946">
        <f t="shared" si="41"/>
        <v>0</v>
      </c>
      <c r="AC101" s="1108"/>
      <c r="AD101" s="1006" t="s">
        <v>99</v>
      </c>
      <c r="AE101" s="1023">
        <v>6</v>
      </c>
      <c r="AF101" s="1001"/>
      <c r="AG101" s="1001">
        <f t="shared" si="75"/>
        <v>0</v>
      </c>
      <c r="AH101" s="1024">
        <f t="shared" si="76"/>
        <v>0</v>
      </c>
      <c r="AI101" s="1025">
        <f t="shared" si="77"/>
        <v>0</v>
      </c>
      <c r="AJ101" s="1025">
        <f t="shared" si="78"/>
        <v>0</v>
      </c>
      <c r="AK101" s="1025">
        <f t="shared" si="79"/>
        <v>0</v>
      </c>
      <c r="AL101" s="1026">
        <f t="shared" si="80"/>
        <v>0</v>
      </c>
      <c r="AM101" s="1027" t="str">
        <f t="shared" si="81"/>
        <v>-</v>
      </c>
      <c r="AN101" s="1028" t="str">
        <f t="shared" si="82"/>
        <v>-</v>
      </c>
      <c r="AO101" s="1028" t="str">
        <f t="shared" si="83"/>
        <v>-</v>
      </c>
      <c r="AP101" s="1028" t="str">
        <f t="shared" si="84"/>
        <v>-</v>
      </c>
      <c r="AQ101" s="1008" t="str">
        <f t="shared" si="85"/>
        <v>-</v>
      </c>
      <c r="AR101" s="1129"/>
      <c r="AS101" s="1129"/>
      <c r="AT101" s="1129"/>
      <c r="AU101" s="1119"/>
      <c r="AV101" s="1119"/>
      <c r="AW101" s="1119"/>
      <c r="AX101" s="1119"/>
      <c r="AY101" s="1119"/>
    </row>
    <row r="102" spans="1:51" ht="15">
      <c r="A102" s="1108"/>
      <c r="B102" s="926">
        <v>1033</v>
      </c>
      <c r="C102" s="897"/>
      <c r="D102" s="928" t="s">
        <v>1321</v>
      </c>
      <c r="E102" s="928">
        <v>71</v>
      </c>
      <c r="F102" s="968">
        <v>3</v>
      </c>
      <c r="G102" s="965">
        <v>9.6</v>
      </c>
      <c r="H102" s="942">
        <v>8.4921089380250194</v>
      </c>
      <c r="I102" s="943">
        <v>0.64333874999999174</v>
      </c>
      <c r="J102" s="943">
        <v>32.608999999999995</v>
      </c>
      <c r="K102" s="943">
        <v>0.32466666666666666</v>
      </c>
      <c r="L102" s="944">
        <v>0</v>
      </c>
      <c r="M102" s="934">
        <v>5.9658699055988205</v>
      </c>
      <c r="N102" s="934">
        <v>0.42823091287239518</v>
      </c>
      <c r="O102" s="934">
        <v>17.60589918152878</v>
      </c>
      <c r="P102" s="934">
        <v>0</v>
      </c>
      <c r="Q102" s="934">
        <v>0.24819996413906853</v>
      </c>
      <c r="R102" s="935">
        <f t="shared" si="48"/>
        <v>2.2376979719487018</v>
      </c>
      <c r="S102" s="898">
        <f t="shared" si="49"/>
        <v>4.75</v>
      </c>
      <c r="T102" s="898">
        <f t="shared" si="50"/>
        <v>4.6366469063780293</v>
      </c>
      <c r="U102" s="898">
        <f t="shared" si="51"/>
        <v>0.83155695529117057</v>
      </c>
      <c r="V102" s="898">
        <f t="shared" si="52"/>
        <v>0</v>
      </c>
      <c r="W102" s="945">
        <f t="shared" si="53"/>
        <v>1.4584704399190034</v>
      </c>
      <c r="X102" s="656">
        <f t="shared" si="41"/>
        <v>1</v>
      </c>
      <c r="Y102" s="656">
        <f t="shared" si="41"/>
        <v>1</v>
      </c>
      <c r="Z102" s="656">
        <f t="shared" si="41"/>
        <v>0</v>
      </c>
      <c r="AA102" s="656">
        <f t="shared" si="41"/>
        <v>0</v>
      </c>
      <c r="AB102" s="946">
        <f t="shared" si="41"/>
        <v>0</v>
      </c>
      <c r="AC102" s="1108"/>
      <c r="AD102" s="1006" t="s">
        <v>296</v>
      </c>
      <c r="AE102" s="1023">
        <v>8</v>
      </c>
      <c r="AF102" s="1001"/>
      <c r="AG102" s="1001">
        <f t="shared" si="75"/>
        <v>0</v>
      </c>
      <c r="AH102" s="1024">
        <f t="shared" si="76"/>
        <v>0</v>
      </c>
      <c r="AI102" s="1025">
        <f t="shared" si="77"/>
        <v>0</v>
      </c>
      <c r="AJ102" s="1025">
        <f t="shared" si="78"/>
        <v>0</v>
      </c>
      <c r="AK102" s="1025">
        <f t="shared" si="79"/>
        <v>0</v>
      </c>
      <c r="AL102" s="1026">
        <f t="shared" si="80"/>
        <v>0</v>
      </c>
      <c r="AM102" s="1027" t="str">
        <f t="shared" si="81"/>
        <v>-</v>
      </c>
      <c r="AN102" s="1028" t="str">
        <f t="shared" si="82"/>
        <v>-</v>
      </c>
      <c r="AO102" s="1028" t="str">
        <f t="shared" si="83"/>
        <v>-</v>
      </c>
      <c r="AP102" s="1028" t="str">
        <f t="shared" si="84"/>
        <v>-</v>
      </c>
      <c r="AQ102" s="1008" t="str">
        <f t="shared" si="85"/>
        <v>-</v>
      </c>
      <c r="AR102" s="1129"/>
      <c r="AS102" s="1129"/>
      <c r="AT102" s="1129"/>
      <c r="AU102" s="1119"/>
      <c r="AV102" s="1119"/>
      <c r="AW102" s="1119"/>
      <c r="AX102" s="1119"/>
      <c r="AY102" s="1119"/>
    </row>
    <row r="103" spans="1:51" ht="15">
      <c r="A103" s="1108"/>
      <c r="B103" s="961">
        <v>10</v>
      </c>
      <c r="C103" s="927"/>
      <c r="D103" s="928" t="s">
        <v>1325</v>
      </c>
      <c r="E103" s="928">
        <v>70</v>
      </c>
      <c r="F103" s="929">
        <v>3</v>
      </c>
      <c r="G103" s="930">
        <v>7.2</v>
      </c>
      <c r="H103" s="942">
        <v>8.3116319999999995</v>
      </c>
      <c r="I103" s="943">
        <v>2.8633839999999999</v>
      </c>
      <c r="J103" s="943">
        <v>70.239419999999996</v>
      </c>
      <c r="K103" s="943">
        <v>0.58071839999999997</v>
      </c>
      <c r="L103" s="944">
        <v>0</v>
      </c>
      <c r="M103" s="934">
        <v>5.9658699055988205</v>
      </c>
      <c r="N103" s="934">
        <v>0.42823091287239518</v>
      </c>
      <c r="O103" s="934">
        <v>17.60589918152878</v>
      </c>
      <c r="P103" s="934">
        <v>0</v>
      </c>
      <c r="Q103" s="934">
        <v>0.24819996413906853</v>
      </c>
      <c r="R103" s="935">
        <f t="shared" si="48"/>
        <v>5.7104722376961528</v>
      </c>
      <c r="S103" s="898">
        <f t="shared" si="49"/>
        <v>4.75</v>
      </c>
      <c r="T103" s="898">
        <f t="shared" si="50"/>
        <v>4.6205664111999996</v>
      </c>
      <c r="U103" s="898">
        <f t="shared" si="51"/>
        <v>0.8259982656</v>
      </c>
      <c r="V103" s="898">
        <f t="shared" si="52"/>
        <v>0</v>
      </c>
      <c r="W103" s="945">
        <f t="shared" si="53"/>
        <v>1.4497894992</v>
      </c>
      <c r="X103" s="656">
        <f t="shared" si="41"/>
        <v>0</v>
      </c>
      <c r="Y103" s="656">
        <f t="shared" si="41"/>
        <v>0</v>
      </c>
      <c r="Z103" s="656">
        <f t="shared" si="41"/>
        <v>0</v>
      </c>
      <c r="AA103" s="656">
        <f t="shared" si="41"/>
        <v>0</v>
      </c>
      <c r="AB103" s="946">
        <f t="shared" si="41"/>
        <v>0</v>
      </c>
      <c r="AC103" s="1108"/>
      <c r="AD103" s="1029" t="s">
        <v>223</v>
      </c>
      <c r="AE103" s="1030">
        <v>9</v>
      </c>
      <c r="AF103" s="1001"/>
      <c r="AG103" s="1001">
        <f t="shared" si="75"/>
        <v>10</v>
      </c>
      <c r="AH103" s="1024">
        <f t="shared" si="76"/>
        <v>6</v>
      </c>
      <c r="AI103" s="1025">
        <f t="shared" si="77"/>
        <v>5</v>
      </c>
      <c r="AJ103" s="1025">
        <f t="shared" si="78"/>
        <v>1</v>
      </c>
      <c r="AK103" s="1025">
        <f t="shared" si="79"/>
        <v>0</v>
      </c>
      <c r="AL103" s="1026">
        <f t="shared" si="80"/>
        <v>0</v>
      </c>
      <c r="AM103" s="1027">
        <f t="shared" si="81"/>
        <v>0.1</v>
      </c>
      <c r="AN103" s="1028">
        <f t="shared" si="82"/>
        <v>0.4</v>
      </c>
      <c r="AO103" s="1028">
        <f t="shared" si="83"/>
        <v>0.1</v>
      </c>
      <c r="AP103" s="1028">
        <f t="shared" si="84"/>
        <v>0</v>
      </c>
      <c r="AQ103" s="1008">
        <f t="shared" si="85"/>
        <v>0</v>
      </c>
      <c r="AR103" s="1129"/>
      <c r="AS103" s="1129"/>
      <c r="AT103" s="1129"/>
      <c r="AU103" s="1119"/>
      <c r="AV103" s="1119"/>
      <c r="AW103" s="1119"/>
      <c r="AX103" s="1119"/>
      <c r="AY103" s="1119"/>
    </row>
    <row r="104" spans="1:51" ht="15">
      <c r="A104" s="1109"/>
      <c r="B104" s="961">
        <v>1051</v>
      </c>
      <c r="C104" s="927"/>
      <c r="D104" s="928" t="s">
        <v>1325</v>
      </c>
      <c r="E104" s="928">
        <v>70</v>
      </c>
      <c r="F104" s="929">
        <v>3</v>
      </c>
      <c r="G104" s="930">
        <v>7.2</v>
      </c>
      <c r="H104" s="942">
        <v>9.8253246243498875</v>
      </c>
      <c r="I104" s="943">
        <v>1.6331216666666437</v>
      </c>
      <c r="J104" s="943">
        <v>56.356999999999999</v>
      </c>
      <c r="K104" s="943">
        <v>1.6236666666666668</v>
      </c>
      <c r="L104" s="944">
        <v>0</v>
      </c>
      <c r="M104" s="934">
        <v>5.9658699055988205</v>
      </c>
      <c r="N104" s="934">
        <v>0.42823091287239518</v>
      </c>
      <c r="O104" s="934">
        <v>17.60589918152878</v>
      </c>
      <c r="P104" s="934">
        <v>0</v>
      </c>
      <c r="Q104" s="934">
        <v>0.24819996413906853</v>
      </c>
      <c r="R104" s="935">
        <f t="shared" si="48"/>
        <v>4.4746365004222666</v>
      </c>
      <c r="S104" s="898">
        <f t="shared" si="49"/>
        <v>12.105436424029575</v>
      </c>
      <c r="T104" s="898">
        <f t="shared" si="50"/>
        <v>4.7554364240295746</v>
      </c>
      <c r="U104" s="898">
        <f t="shared" si="51"/>
        <v>0.87261999842997651</v>
      </c>
      <c r="V104" s="898">
        <f t="shared" si="52"/>
        <v>0</v>
      </c>
      <c r="W104" s="945">
        <f t="shared" si="53"/>
        <v>1.5225981144312297</v>
      </c>
      <c r="X104" s="656">
        <f t="shared" si="41"/>
        <v>1</v>
      </c>
      <c r="Y104" s="656">
        <f t="shared" si="41"/>
        <v>1</v>
      </c>
      <c r="Z104" s="656">
        <f t="shared" si="41"/>
        <v>0</v>
      </c>
      <c r="AA104" s="656">
        <f t="shared" si="41"/>
        <v>0</v>
      </c>
      <c r="AB104" s="946">
        <f t="shared" si="41"/>
        <v>0</v>
      </c>
      <c r="AC104" s="1108"/>
      <c r="AD104" s="1029" t="s">
        <v>154</v>
      </c>
      <c r="AE104" s="1030">
        <v>12</v>
      </c>
      <c r="AF104" s="1001"/>
      <c r="AG104" s="1001">
        <f t="shared" si="75"/>
        <v>8</v>
      </c>
      <c r="AH104" s="1024">
        <f t="shared" si="76"/>
        <v>8</v>
      </c>
      <c r="AI104" s="1025">
        <f t="shared" si="77"/>
        <v>8</v>
      </c>
      <c r="AJ104" s="1025">
        <f t="shared" si="78"/>
        <v>5</v>
      </c>
      <c r="AK104" s="1025">
        <f t="shared" si="79"/>
        <v>0</v>
      </c>
      <c r="AL104" s="1026">
        <f t="shared" si="80"/>
        <v>7</v>
      </c>
      <c r="AM104" s="1027">
        <f t="shared" si="81"/>
        <v>0</v>
      </c>
      <c r="AN104" s="1028">
        <f t="shared" si="82"/>
        <v>0.375</v>
      </c>
      <c r="AO104" s="1028">
        <f t="shared" si="83"/>
        <v>0.625</v>
      </c>
      <c r="AP104" s="1028">
        <f t="shared" si="84"/>
        <v>0</v>
      </c>
      <c r="AQ104" s="1008">
        <f t="shared" si="85"/>
        <v>0.875</v>
      </c>
      <c r="AR104" s="1129"/>
      <c r="AS104" s="1129"/>
      <c r="AT104" s="1129"/>
      <c r="AU104" s="1119"/>
      <c r="AV104" s="1119"/>
      <c r="AW104" s="1119"/>
      <c r="AX104" s="1119"/>
      <c r="AY104" s="1119"/>
    </row>
    <row r="105" spans="1:51" ht="15">
      <c r="A105" s="1109"/>
      <c r="B105" s="961">
        <v>26</v>
      </c>
      <c r="C105" s="927"/>
      <c r="D105" s="928" t="s">
        <v>1325</v>
      </c>
      <c r="E105" s="928">
        <v>70</v>
      </c>
      <c r="F105" s="929">
        <v>3</v>
      </c>
      <c r="G105" s="930">
        <v>7.2</v>
      </c>
      <c r="H105" s="942">
        <v>7.7251466999999998</v>
      </c>
      <c r="I105" s="943">
        <v>1.47536</v>
      </c>
      <c r="J105" s="943">
        <v>49.033760000000001</v>
      </c>
      <c r="K105" s="943">
        <v>1.4761500000000001</v>
      </c>
      <c r="L105" s="944">
        <v>0</v>
      </c>
      <c r="M105" s="934">
        <v>5.9658699055988205</v>
      </c>
      <c r="N105" s="934">
        <v>0.42823091287239518</v>
      </c>
      <c r="O105" s="934">
        <v>17.60589918152878</v>
      </c>
      <c r="P105" s="934">
        <v>0</v>
      </c>
      <c r="Q105" s="934">
        <v>0.24819996413906853</v>
      </c>
      <c r="R105" s="935">
        <f t="shared" si="48"/>
        <v>3.9778838973164485</v>
      </c>
      <c r="S105" s="898">
        <f t="shared" si="49"/>
        <v>4.75</v>
      </c>
      <c r="T105" s="898">
        <f t="shared" si="50"/>
        <v>4.5683105709699996</v>
      </c>
      <c r="U105" s="898">
        <f t="shared" si="51"/>
        <v>0.80793451835999996</v>
      </c>
      <c r="V105" s="898">
        <f t="shared" si="52"/>
        <v>0</v>
      </c>
      <c r="W105" s="945">
        <f t="shared" si="53"/>
        <v>1.42157955627</v>
      </c>
      <c r="X105" s="656">
        <f t="shared" si="41"/>
        <v>1</v>
      </c>
      <c r="Y105" s="656">
        <f t="shared" si="41"/>
        <v>1</v>
      </c>
      <c r="Z105" s="656">
        <f t="shared" si="41"/>
        <v>0</v>
      </c>
      <c r="AA105" s="656">
        <f t="shared" si="41"/>
        <v>0</v>
      </c>
      <c r="AB105" s="946">
        <f t="shared" si="41"/>
        <v>0</v>
      </c>
      <c r="AC105" s="1108"/>
      <c r="AD105" s="1029" t="s">
        <v>847</v>
      </c>
      <c r="AE105" s="1030">
        <v>13</v>
      </c>
      <c r="AF105" s="1001"/>
      <c r="AG105" s="1001">
        <f t="shared" si="75"/>
        <v>0</v>
      </c>
      <c r="AH105" s="1024">
        <f t="shared" si="76"/>
        <v>0</v>
      </c>
      <c r="AI105" s="1025">
        <f t="shared" si="77"/>
        <v>0</v>
      </c>
      <c r="AJ105" s="1025">
        <f t="shared" si="78"/>
        <v>0</v>
      </c>
      <c r="AK105" s="1025">
        <f t="shared" si="79"/>
        <v>0</v>
      </c>
      <c r="AL105" s="1026">
        <f t="shared" si="80"/>
        <v>0</v>
      </c>
      <c r="AM105" s="1027" t="str">
        <f t="shared" si="81"/>
        <v>-</v>
      </c>
      <c r="AN105" s="1028" t="str">
        <f t="shared" si="82"/>
        <v>-</v>
      </c>
      <c r="AO105" s="1028" t="str">
        <f t="shared" si="83"/>
        <v>-</v>
      </c>
      <c r="AP105" s="1028" t="str">
        <f t="shared" si="84"/>
        <v>-</v>
      </c>
      <c r="AQ105" s="1008" t="str">
        <f t="shared" si="85"/>
        <v>-</v>
      </c>
      <c r="AR105" s="1129"/>
      <c r="AS105" s="1129"/>
      <c r="AT105" s="1129"/>
      <c r="AU105" s="1119"/>
      <c r="AV105" s="1119"/>
      <c r="AW105" s="1119"/>
      <c r="AX105" s="1119"/>
      <c r="AY105" s="1119"/>
    </row>
    <row r="106" spans="1:51" ht="15">
      <c r="A106" s="1109"/>
      <c r="B106" s="926">
        <v>134</v>
      </c>
      <c r="C106" s="927"/>
      <c r="D106" s="928" t="s">
        <v>1325</v>
      </c>
      <c r="E106" s="928">
        <v>70</v>
      </c>
      <c r="F106" s="929">
        <v>3</v>
      </c>
      <c r="G106" s="930">
        <v>7.2</v>
      </c>
      <c r="H106" s="942">
        <v>7.121664</v>
      </c>
      <c r="I106" s="943">
        <v>0.1176</v>
      </c>
      <c r="J106" s="943">
        <v>11.2653005555555</v>
      </c>
      <c r="K106" s="943">
        <v>6.6586199999999988E-3</v>
      </c>
      <c r="L106" s="944">
        <v>0</v>
      </c>
      <c r="M106" s="934">
        <v>5.9658699055988205</v>
      </c>
      <c r="N106" s="934">
        <v>0.42823091287239518</v>
      </c>
      <c r="O106" s="934">
        <v>17.60589918152878</v>
      </c>
      <c r="P106" s="934">
        <v>0</v>
      </c>
      <c r="Q106" s="934">
        <v>0.24819996413906853</v>
      </c>
      <c r="R106" s="935">
        <f t="shared" si="48"/>
        <v>0.37681453663757153</v>
      </c>
      <c r="S106" s="898">
        <f t="shared" si="49"/>
        <v>4.75</v>
      </c>
      <c r="T106" s="898">
        <f t="shared" si="50"/>
        <v>11.9</v>
      </c>
      <c r="U106" s="898">
        <f t="shared" si="51"/>
        <v>0.78934725119999993</v>
      </c>
      <c r="V106" s="898">
        <f t="shared" si="52"/>
        <v>0</v>
      </c>
      <c r="W106" s="945">
        <f t="shared" si="53"/>
        <v>1.3925520384000001</v>
      </c>
      <c r="X106" s="656">
        <f t="shared" si="41"/>
        <v>1</v>
      </c>
      <c r="Y106" s="656">
        <f t="shared" si="41"/>
        <v>1</v>
      </c>
      <c r="Z106" s="656">
        <f t="shared" si="41"/>
        <v>1</v>
      </c>
      <c r="AA106" s="656">
        <f t="shared" si="41"/>
        <v>0</v>
      </c>
      <c r="AB106" s="946">
        <f t="shared" si="41"/>
        <v>1</v>
      </c>
      <c r="AC106" s="1108"/>
      <c r="AD106" s="1029" t="s">
        <v>110</v>
      </c>
      <c r="AE106" s="1030">
        <v>16</v>
      </c>
      <c r="AF106" s="1001"/>
      <c r="AG106" s="1001">
        <f t="shared" si="75"/>
        <v>10</v>
      </c>
      <c r="AH106" s="1024">
        <f t="shared" si="76"/>
        <v>2</v>
      </c>
      <c r="AI106" s="1025">
        <f t="shared" si="77"/>
        <v>0</v>
      </c>
      <c r="AJ106" s="1025">
        <f t="shared" si="78"/>
        <v>0</v>
      </c>
      <c r="AK106" s="1025">
        <f t="shared" si="79"/>
        <v>0</v>
      </c>
      <c r="AL106" s="1026">
        <f t="shared" si="80"/>
        <v>0</v>
      </c>
      <c r="AM106" s="1027">
        <f t="shared" si="81"/>
        <v>0.2</v>
      </c>
      <c r="AN106" s="1028">
        <f t="shared" si="82"/>
        <v>0</v>
      </c>
      <c r="AO106" s="1028">
        <f t="shared" si="83"/>
        <v>0</v>
      </c>
      <c r="AP106" s="1028">
        <f t="shared" si="84"/>
        <v>0</v>
      </c>
      <c r="AQ106" s="1008">
        <f t="shared" si="85"/>
        <v>0</v>
      </c>
      <c r="AR106" s="1129"/>
      <c r="AS106" s="1129"/>
      <c r="AT106" s="1129"/>
      <c r="AU106" s="1119"/>
      <c r="AV106" s="1119"/>
      <c r="AW106" s="1119"/>
      <c r="AX106" s="1119"/>
      <c r="AY106" s="1119"/>
    </row>
    <row r="107" spans="1:51" ht="15">
      <c r="A107" s="1109"/>
      <c r="B107" s="957" t="s">
        <v>1326</v>
      </c>
      <c r="C107" s="927"/>
      <c r="D107" s="983" t="s">
        <v>181</v>
      </c>
      <c r="E107" s="983">
        <v>52</v>
      </c>
      <c r="F107" s="929">
        <v>3</v>
      </c>
      <c r="G107" s="930">
        <v>7.2</v>
      </c>
      <c r="H107" s="958">
        <v>10.007024425000276</v>
      </c>
      <c r="I107" s="959">
        <v>0.23699999999999832</v>
      </c>
      <c r="J107" s="959">
        <v>21.392499999999963</v>
      </c>
      <c r="K107" s="959">
        <v>0.10444293015332197</v>
      </c>
      <c r="L107" s="944">
        <v>0</v>
      </c>
      <c r="M107" s="934">
        <v>5.9658699055988205</v>
      </c>
      <c r="N107" s="934">
        <v>0.42823091287239518</v>
      </c>
      <c r="O107" s="934">
        <v>17.60589918152878</v>
      </c>
      <c r="P107" s="934">
        <v>0</v>
      </c>
      <c r="Q107" s="934">
        <v>0.24819996413906853</v>
      </c>
      <c r="R107" s="935">
        <f t="shared" si="48"/>
        <v>1.0485537837069057</v>
      </c>
      <c r="S107" s="898">
        <f t="shared" si="49"/>
        <v>12.121625876267526</v>
      </c>
      <c r="T107" s="898">
        <f t="shared" si="50"/>
        <v>4.7716258762675245</v>
      </c>
      <c r="U107" s="898">
        <f t="shared" si="51"/>
        <v>0.8782163522900085</v>
      </c>
      <c r="V107" s="898">
        <f t="shared" si="52"/>
        <v>0</v>
      </c>
      <c r="W107" s="945">
        <f t="shared" si="53"/>
        <v>1.5313378748425133</v>
      </c>
      <c r="X107" s="656">
        <f t="shared" si="41"/>
        <v>1</v>
      </c>
      <c r="Y107" s="656">
        <f t="shared" si="41"/>
        <v>1</v>
      </c>
      <c r="Z107" s="656">
        <f t="shared" si="41"/>
        <v>0</v>
      </c>
      <c r="AA107" s="656">
        <f t="shared" si="41"/>
        <v>0</v>
      </c>
      <c r="AB107" s="946">
        <f t="shared" si="41"/>
        <v>1</v>
      </c>
      <c r="AC107" s="1108"/>
      <c r="AD107" s="1029" t="s">
        <v>111</v>
      </c>
      <c r="AE107" s="1030">
        <v>19</v>
      </c>
      <c r="AF107" s="1001"/>
      <c r="AG107" s="1001">
        <f t="shared" si="75"/>
        <v>0</v>
      </c>
      <c r="AH107" s="1024">
        <f t="shared" si="76"/>
        <v>0</v>
      </c>
      <c r="AI107" s="1025">
        <f t="shared" si="77"/>
        <v>0</v>
      </c>
      <c r="AJ107" s="1025">
        <f t="shared" si="78"/>
        <v>0</v>
      </c>
      <c r="AK107" s="1025">
        <f t="shared" si="79"/>
        <v>0</v>
      </c>
      <c r="AL107" s="1026">
        <f t="shared" si="80"/>
        <v>0</v>
      </c>
      <c r="AM107" s="1027" t="str">
        <f t="shared" si="81"/>
        <v>-</v>
      </c>
      <c r="AN107" s="1028" t="str">
        <f t="shared" si="82"/>
        <v>-</v>
      </c>
      <c r="AO107" s="1028" t="str">
        <f t="shared" si="83"/>
        <v>-</v>
      </c>
      <c r="AP107" s="1028" t="str">
        <f t="shared" si="84"/>
        <v>-</v>
      </c>
      <c r="AQ107" s="1008" t="str">
        <f t="shared" si="85"/>
        <v>-</v>
      </c>
      <c r="AR107" s="1129"/>
      <c r="AS107" s="1129"/>
      <c r="AT107" s="1129"/>
      <c r="AU107" s="1119"/>
      <c r="AV107" s="1119"/>
      <c r="AW107" s="1119"/>
      <c r="AX107" s="1119"/>
      <c r="AY107" s="1119"/>
    </row>
    <row r="108" spans="1:51" ht="15">
      <c r="A108" s="1109"/>
      <c r="B108" s="957" t="s">
        <v>1327</v>
      </c>
      <c r="C108" s="927"/>
      <c r="D108" s="983" t="s">
        <v>181</v>
      </c>
      <c r="E108" s="983">
        <v>52</v>
      </c>
      <c r="F108" s="929">
        <v>3</v>
      </c>
      <c r="G108" s="930">
        <v>7.2</v>
      </c>
      <c r="H108" s="958">
        <v>17.480431472222076</v>
      </c>
      <c r="I108" s="959">
        <v>0.2949999999999946</v>
      </c>
      <c r="J108" s="959">
        <v>34.462165277777672</v>
      </c>
      <c r="K108" s="959">
        <v>9.4967010309278357E-2</v>
      </c>
      <c r="L108" s="944">
        <v>0</v>
      </c>
      <c r="M108" s="934">
        <v>5.9658699055988205</v>
      </c>
      <c r="N108" s="934">
        <v>0.42823091287239518</v>
      </c>
      <c r="O108" s="934">
        <v>17.60589918152878</v>
      </c>
      <c r="P108" s="934">
        <v>0</v>
      </c>
      <c r="Q108" s="934">
        <v>0.24819996413906853</v>
      </c>
      <c r="R108" s="935">
        <f t="shared" si="48"/>
        <v>1.5542464335997699</v>
      </c>
      <c r="S108" s="898">
        <f t="shared" si="49"/>
        <v>12.787506444174987</v>
      </c>
      <c r="T108" s="898">
        <f t="shared" si="50"/>
        <v>5.4375064441749865</v>
      </c>
      <c r="U108" s="898">
        <f t="shared" si="51"/>
        <v>1.10839728934444</v>
      </c>
      <c r="V108" s="898">
        <f t="shared" si="52"/>
        <v>0</v>
      </c>
      <c r="W108" s="945">
        <f t="shared" si="53"/>
        <v>1.8908087538138818</v>
      </c>
      <c r="X108" s="656">
        <f t="shared" ref="X108:AB158" si="86">IF($R108&lt;=S108,1,0)</f>
        <v>1</v>
      </c>
      <c r="Y108" s="656">
        <f t="shared" si="86"/>
        <v>1</v>
      </c>
      <c r="Z108" s="656">
        <f t="shared" si="86"/>
        <v>0</v>
      </c>
      <c r="AA108" s="656">
        <f t="shared" si="86"/>
        <v>0</v>
      </c>
      <c r="AB108" s="946">
        <f t="shared" si="86"/>
        <v>1</v>
      </c>
      <c r="AC108" s="1108"/>
      <c r="AD108" s="1029" t="s">
        <v>112</v>
      </c>
      <c r="AE108" s="1030">
        <v>21</v>
      </c>
      <c r="AF108" s="1001"/>
      <c r="AG108" s="1001">
        <f t="shared" si="75"/>
        <v>0</v>
      </c>
      <c r="AH108" s="1024">
        <f t="shared" si="76"/>
        <v>0</v>
      </c>
      <c r="AI108" s="1025">
        <f t="shared" si="77"/>
        <v>0</v>
      </c>
      <c r="AJ108" s="1025">
        <f t="shared" si="78"/>
        <v>0</v>
      </c>
      <c r="AK108" s="1025">
        <f t="shared" si="79"/>
        <v>0</v>
      </c>
      <c r="AL108" s="1026">
        <f t="shared" si="80"/>
        <v>0</v>
      </c>
      <c r="AM108" s="1027" t="str">
        <f t="shared" si="81"/>
        <v>-</v>
      </c>
      <c r="AN108" s="1028" t="str">
        <f t="shared" si="82"/>
        <v>-</v>
      </c>
      <c r="AO108" s="1028" t="str">
        <f t="shared" si="83"/>
        <v>-</v>
      </c>
      <c r="AP108" s="1028" t="str">
        <f t="shared" si="84"/>
        <v>-</v>
      </c>
      <c r="AQ108" s="1008" t="str">
        <f t="shared" si="85"/>
        <v>-</v>
      </c>
      <c r="AR108" s="1129"/>
      <c r="AS108" s="1129"/>
      <c r="AT108" s="1129"/>
      <c r="AU108" s="1119"/>
      <c r="AV108" s="1119"/>
      <c r="AW108" s="1119"/>
      <c r="AX108" s="1119"/>
      <c r="AY108" s="1119"/>
    </row>
    <row r="109" spans="1:51" ht="15">
      <c r="A109" s="1109"/>
      <c r="B109" s="957" t="s">
        <v>1328</v>
      </c>
      <c r="C109" s="927"/>
      <c r="D109" s="983" t="s">
        <v>181</v>
      </c>
      <c r="E109" s="983">
        <v>52</v>
      </c>
      <c r="F109" s="929">
        <v>3</v>
      </c>
      <c r="G109" s="930">
        <v>9</v>
      </c>
      <c r="H109" s="958">
        <v>12.999253116666885</v>
      </c>
      <c r="I109" s="959">
        <v>0.64530828819444241</v>
      </c>
      <c r="J109" s="959">
        <v>37.421655570694973</v>
      </c>
      <c r="K109" s="959">
        <v>0.41720820000000003</v>
      </c>
      <c r="L109" s="944">
        <v>0</v>
      </c>
      <c r="M109" s="934">
        <v>5.9658699055988205</v>
      </c>
      <c r="N109" s="934">
        <v>0.42823091287239518</v>
      </c>
      <c r="O109" s="934">
        <v>17.60589918152878</v>
      </c>
      <c r="P109" s="934">
        <v>0</v>
      </c>
      <c r="Q109" s="934">
        <v>0.24819996413906853</v>
      </c>
      <c r="R109" s="935">
        <f t="shared" si="48"/>
        <v>2.2798463203293275</v>
      </c>
      <c r="S109" s="898">
        <f t="shared" si="49"/>
        <v>12.388233452695021</v>
      </c>
      <c r="T109" s="898">
        <f t="shared" si="50"/>
        <v>5.0382334526950192</v>
      </c>
      <c r="U109" s="898">
        <f t="shared" si="51"/>
        <v>0.97037699599334004</v>
      </c>
      <c r="V109" s="898">
        <f t="shared" si="52"/>
        <v>0</v>
      </c>
      <c r="W109" s="945">
        <f t="shared" si="53"/>
        <v>1.6752640749116772</v>
      </c>
      <c r="X109" s="656">
        <f t="shared" si="86"/>
        <v>1</v>
      </c>
      <c r="Y109" s="656">
        <f t="shared" si="86"/>
        <v>1</v>
      </c>
      <c r="Z109" s="656">
        <f t="shared" si="86"/>
        <v>0</v>
      </c>
      <c r="AA109" s="656">
        <f t="shared" si="86"/>
        <v>0</v>
      </c>
      <c r="AB109" s="946">
        <f t="shared" si="86"/>
        <v>0</v>
      </c>
      <c r="AC109" s="1108"/>
      <c r="AD109" s="1029" t="s">
        <v>113</v>
      </c>
      <c r="AE109" s="1030">
        <v>22</v>
      </c>
      <c r="AF109" s="1001"/>
      <c r="AG109" s="1001">
        <f t="shared" si="75"/>
        <v>1</v>
      </c>
      <c r="AH109" s="1024">
        <f t="shared" si="76"/>
        <v>1</v>
      </c>
      <c r="AI109" s="1025">
        <f t="shared" si="77"/>
        <v>0</v>
      </c>
      <c r="AJ109" s="1025">
        <f t="shared" si="78"/>
        <v>0</v>
      </c>
      <c r="AK109" s="1025">
        <f t="shared" si="79"/>
        <v>0</v>
      </c>
      <c r="AL109" s="1026">
        <f t="shared" si="80"/>
        <v>0</v>
      </c>
      <c r="AM109" s="1027">
        <f t="shared" si="81"/>
        <v>1</v>
      </c>
      <c r="AN109" s="1028">
        <f t="shared" si="82"/>
        <v>0</v>
      </c>
      <c r="AO109" s="1028">
        <f t="shared" si="83"/>
        <v>0</v>
      </c>
      <c r="AP109" s="1028">
        <f t="shared" si="84"/>
        <v>0</v>
      </c>
      <c r="AQ109" s="1008">
        <f t="shared" si="85"/>
        <v>0</v>
      </c>
      <c r="AR109" s="1129"/>
      <c r="AS109" s="1129"/>
      <c r="AT109" s="1129"/>
      <c r="AU109" s="1119"/>
      <c r="AV109" s="1119"/>
      <c r="AW109" s="1119"/>
      <c r="AX109" s="1119"/>
      <c r="AY109" s="1119"/>
    </row>
    <row r="110" spans="1:51" ht="15">
      <c r="A110" s="1109"/>
      <c r="B110" s="957" t="s">
        <v>1329</v>
      </c>
      <c r="C110" s="927"/>
      <c r="D110" s="983" t="s">
        <v>181</v>
      </c>
      <c r="E110" s="983">
        <v>52</v>
      </c>
      <c r="F110" s="929">
        <v>3</v>
      </c>
      <c r="G110" s="930">
        <v>12</v>
      </c>
      <c r="H110" s="958">
        <v>32.97941648888915</v>
      </c>
      <c r="I110" s="959">
        <v>0.51979740625000104</v>
      </c>
      <c r="J110" s="959">
        <v>62.409175247083496</v>
      </c>
      <c r="K110" s="959">
        <v>0.22734479999999999</v>
      </c>
      <c r="L110" s="944">
        <v>0</v>
      </c>
      <c r="M110" s="934">
        <v>5.9658699055988205</v>
      </c>
      <c r="N110" s="934">
        <v>0.42823091287239518</v>
      </c>
      <c r="O110" s="934">
        <v>17.60589918152878</v>
      </c>
      <c r="P110" s="934">
        <v>0</v>
      </c>
      <c r="Q110" s="934">
        <v>0.24819996413906853</v>
      </c>
      <c r="R110" s="935">
        <f t="shared" si="48"/>
        <v>2.703385676653784</v>
      </c>
      <c r="S110" s="898">
        <f t="shared" si="49"/>
        <v>14.168466009160024</v>
      </c>
      <c r="T110" s="898">
        <f t="shared" si="50"/>
        <v>6.8184660091600229</v>
      </c>
      <c r="U110" s="898">
        <f t="shared" si="51"/>
        <v>1.5857660278577859</v>
      </c>
      <c r="V110" s="898">
        <f t="shared" si="52"/>
        <v>0</v>
      </c>
      <c r="W110" s="945">
        <f t="shared" si="53"/>
        <v>2.6363099331155682</v>
      </c>
      <c r="X110" s="656">
        <f t="shared" si="86"/>
        <v>1</v>
      </c>
      <c r="Y110" s="656">
        <f t="shared" si="86"/>
        <v>1</v>
      </c>
      <c r="Z110" s="656">
        <f t="shared" si="86"/>
        <v>0</v>
      </c>
      <c r="AA110" s="656">
        <f t="shared" si="86"/>
        <v>0</v>
      </c>
      <c r="AB110" s="946">
        <f t="shared" si="86"/>
        <v>0</v>
      </c>
      <c r="AC110" s="1108"/>
      <c r="AD110" s="1029" t="s">
        <v>784</v>
      </c>
      <c r="AE110" s="1030">
        <v>23</v>
      </c>
      <c r="AF110" s="1001"/>
      <c r="AG110" s="1001">
        <f t="shared" si="75"/>
        <v>0</v>
      </c>
      <c r="AH110" s="1024">
        <f t="shared" si="76"/>
        <v>0</v>
      </c>
      <c r="AI110" s="1025">
        <f t="shared" si="77"/>
        <v>0</v>
      </c>
      <c r="AJ110" s="1025">
        <f t="shared" si="78"/>
        <v>0</v>
      </c>
      <c r="AK110" s="1025">
        <f t="shared" si="79"/>
        <v>0</v>
      </c>
      <c r="AL110" s="1026">
        <f t="shared" si="80"/>
        <v>0</v>
      </c>
      <c r="AM110" s="1027" t="str">
        <f t="shared" si="81"/>
        <v>-</v>
      </c>
      <c r="AN110" s="1028" t="str">
        <f t="shared" si="82"/>
        <v>-</v>
      </c>
      <c r="AO110" s="1028" t="str">
        <f t="shared" si="83"/>
        <v>-</v>
      </c>
      <c r="AP110" s="1028" t="str">
        <f t="shared" si="84"/>
        <v>-</v>
      </c>
      <c r="AQ110" s="1008" t="str">
        <f t="shared" si="85"/>
        <v>-</v>
      </c>
      <c r="AR110" s="1129"/>
      <c r="AS110" s="1129"/>
      <c r="AT110" s="1129"/>
      <c r="AU110" s="1119"/>
      <c r="AV110" s="1119"/>
      <c r="AW110" s="1119"/>
      <c r="AX110" s="1119"/>
      <c r="AY110" s="1119"/>
    </row>
    <row r="111" spans="1:51" ht="15">
      <c r="A111" s="1109"/>
      <c r="B111" s="957" t="s">
        <v>1330</v>
      </c>
      <c r="C111" s="1031"/>
      <c r="D111" s="983" t="s">
        <v>181</v>
      </c>
      <c r="E111" s="983">
        <v>52</v>
      </c>
      <c r="F111" s="929">
        <v>3</v>
      </c>
      <c r="G111" s="930">
        <v>7.4</v>
      </c>
      <c r="H111" s="958">
        <v>26.296561216666881</v>
      </c>
      <c r="I111" s="959">
        <v>0.49799999999999756</v>
      </c>
      <c r="J111" s="959">
        <v>56.932899999999947</v>
      </c>
      <c r="K111" s="959">
        <v>0.30012000000000005</v>
      </c>
      <c r="L111" s="944">
        <v>0</v>
      </c>
      <c r="M111" s="934">
        <v>5.9658699055988205</v>
      </c>
      <c r="N111" s="934">
        <v>0.42823091287239518</v>
      </c>
      <c r="O111" s="934">
        <v>17.60589918152878</v>
      </c>
      <c r="P111" s="934">
        <v>0</v>
      </c>
      <c r="Q111" s="934">
        <v>0.24819996413906853</v>
      </c>
      <c r="R111" s="935">
        <f t="shared" si="48"/>
        <v>2.8239962730489068</v>
      </c>
      <c r="S111" s="898">
        <f t="shared" si="49"/>
        <v>13.573023604405019</v>
      </c>
      <c r="T111" s="898">
        <f t="shared" si="50"/>
        <v>6.2230236044050189</v>
      </c>
      <c r="U111" s="898">
        <f t="shared" si="51"/>
        <v>1.37993408547334</v>
      </c>
      <c r="V111" s="898">
        <f t="shared" si="52"/>
        <v>0</v>
      </c>
      <c r="W111" s="945">
        <f t="shared" si="53"/>
        <v>2.3148645945216768</v>
      </c>
      <c r="X111" s="656">
        <f t="shared" si="86"/>
        <v>1</v>
      </c>
      <c r="Y111" s="656">
        <f t="shared" si="86"/>
        <v>1</v>
      </c>
      <c r="Z111" s="656">
        <f t="shared" si="86"/>
        <v>0</v>
      </c>
      <c r="AA111" s="656">
        <f t="shared" si="86"/>
        <v>0</v>
      </c>
      <c r="AB111" s="946">
        <f t="shared" si="86"/>
        <v>0</v>
      </c>
      <c r="AC111" s="1108"/>
      <c r="AD111" s="1029" t="s">
        <v>115</v>
      </c>
      <c r="AE111" s="1030">
        <v>25</v>
      </c>
      <c r="AF111" s="1001"/>
      <c r="AG111" s="1001">
        <f t="shared" si="75"/>
        <v>4</v>
      </c>
      <c r="AH111" s="1024">
        <f t="shared" si="76"/>
        <v>3</v>
      </c>
      <c r="AI111" s="1025">
        <f t="shared" si="77"/>
        <v>3</v>
      </c>
      <c r="AJ111" s="1025">
        <f t="shared" si="78"/>
        <v>1</v>
      </c>
      <c r="AK111" s="1025">
        <f t="shared" si="79"/>
        <v>0</v>
      </c>
      <c r="AL111" s="1026">
        <f t="shared" si="80"/>
        <v>0</v>
      </c>
      <c r="AM111" s="1027">
        <f t="shared" si="81"/>
        <v>0</v>
      </c>
      <c r="AN111" s="1028">
        <f t="shared" si="82"/>
        <v>0.5</v>
      </c>
      <c r="AO111" s="1028">
        <f t="shared" si="83"/>
        <v>0.25</v>
      </c>
      <c r="AP111" s="1028">
        <f t="shared" si="84"/>
        <v>0</v>
      </c>
      <c r="AQ111" s="1008">
        <f t="shared" si="85"/>
        <v>0</v>
      </c>
      <c r="AR111" s="1129"/>
      <c r="AS111" s="1129"/>
      <c r="AT111" s="1129"/>
      <c r="AU111" s="1119"/>
      <c r="AV111" s="1119"/>
      <c r="AW111" s="1119"/>
      <c r="AX111" s="1119"/>
      <c r="AY111" s="1119"/>
    </row>
    <row r="112" spans="1:51" ht="15">
      <c r="A112" s="1109"/>
      <c r="B112" s="957" t="s">
        <v>1331</v>
      </c>
      <c r="C112" s="1031"/>
      <c r="D112" s="983" t="s">
        <v>181</v>
      </c>
      <c r="E112" s="983">
        <v>52</v>
      </c>
      <c r="F112" s="929">
        <v>3</v>
      </c>
      <c r="G112" s="930">
        <v>7.4</v>
      </c>
      <c r="H112" s="958">
        <v>18.535912597222506</v>
      </c>
      <c r="I112" s="959">
        <v>0.5519999999999996</v>
      </c>
      <c r="J112" s="959">
        <v>39.668553333333328</v>
      </c>
      <c r="K112" s="959">
        <v>0.44138400000000005</v>
      </c>
      <c r="L112" s="944">
        <v>0</v>
      </c>
      <c r="M112" s="934">
        <v>5.9658699055988205</v>
      </c>
      <c r="N112" s="934">
        <v>0.42823091287239518</v>
      </c>
      <c r="O112" s="934">
        <v>17.60589918152878</v>
      </c>
      <c r="P112" s="934">
        <v>0</v>
      </c>
      <c r="Q112" s="934">
        <v>0.24819996413906853</v>
      </c>
      <c r="R112" s="935">
        <f t="shared" si="48"/>
        <v>1.9852868333178368</v>
      </c>
      <c r="S112" s="898">
        <f t="shared" si="49"/>
        <v>12.881549812412526</v>
      </c>
      <c r="T112" s="898">
        <f t="shared" si="50"/>
        <v>5.5315498124125249</v>
      </c>
      <c r="U112" s="898">
        <f t="shared" si="51"/>
        <v>1.1409061079944531</v>
      </c>
      <c r="V112" s="898">
        <f t="shared" si="52"/>
        <v>0</v>
      </c>
      <c r="W112" s="945">
        <f t="shared" si="53"/>
        <v>1.9415773959264024</v>
      </c>
      <c r="X112" s="656">
        <f t="shared" si="86"/>
        <v>1</v>
      </c>
      <c r="Y112" s="656">
        <f t="shared" si="86"/>
        <v>1</v>
      </c>
      <c r="Z112" s="656">
        <f t="shared" si="86"/>
        <v>0</v>
      </c>
      <c r="AA112" s="656">
        <f t="shared" si="86"/>
        <v>0</v>
      </c>
      <c r="AB112" s="946">
        <f t="shared" si="86"/>
        <v>0</v>
      </c>
      <c r="AC112" s="1108"/>
      <c r="AD112" s="1029" t="s">
        <v>116</v>
      </c>
      <c r="AE112" s="1030">
        <v>26</v>
      </c>
      <c r="AF112" s="1001"/>
      <c r="AG112" s="1001">
        <f t="shared" si="75"/>
        <v>0</v>
      </c>
      <c r="AH112" s="1024">
        <f t="shared" si="76"/>
        <v>0</v>
      </c>
      <c r="AI112" s="1025">
        <f t="shared" si="77"/>
        <v>0</v>
      </c>
      <c r="AJ112" s="1025">
        <f t="shared" si="78"/>
        <v>0</v>
      </c>
      <c r="AK112" s="1025">
        <f t="shared" si="79"/>
        <v>0</v>
      </c>
      <c r="AL112" s="1026">
        <f t="shared" si="80"/>
        <v>0</v>
      </c>
      <c r="AM112" s="1027" t="str">
        <f t="shared" si="81"/>
        <v>-</v>
      </c>
      <c r="AN112" s="1028" t="str">
        <f t="shared" si="82"/>
        <v>-</v>
      </c>
      <c r="AO112" s="1028" t="str">
        <f t="shared" si="83"/>
        <v>-</v>
      </c>
      <c r="AP112" s="1028" t="str">
        <f t="shared" si="84"/>
        <v>-</v>
      </c>
      <c r="AQ112" s="1008" t="str">
        <f t="shared" si="85"/>
        <v>-</v>
      </c>
      <c r="AR112" s="1129"/>
      <c r="AS112" s="1129"/>
      <c r="AT112" s="1129"/>
      <c r="AU112" s="1119"/>
      <c r="AV112" s="1119"/>
      <c r="AW112" s="1119"/>
      <c r="AX112" s="1119"/>
      <c r="AY112" s="1119"/>
    </row>
    <row r="113" spans="1:51" ht="15">
      <c r="A113" s="1108"/>
      <c r="B113" s="961">
        <v>36</v>
      </c>
      <c r="C113" s="927"/>
      <c r="D113" s="928" t="s">
        <v>1315</v>
      </c>
      <c r="E113" s="928">
        <v>57</v>
      </c>
      <c r="F113" s="929">
        <v>3</v>
      </c>
      <c r="G113" s="930">
        <v>4.8</v>
      </c>
      <c r="H113" s="942">
        <v>4.6575600000000001</v>
      </c>
      <c r="I113" s="943">
        <v>1.2604432299999999</v>
      </c>
      <c r="J113" s="943">
        <v>39.250695999999998</v>
      </c>
      <c r="K113" s="943">
        <v>0.90890400000000016</v>
      </c>
      <c r="L113" s="944">
        <v>0</v>
      </c>
      <c r="M113" s="934">
        <v>5.9658699055988205</v>
      </c>
      <c r="N113" s="934">
        <v>0.42823091287239518</v>
      </c>
      <c r="O113" s="934">
        <v>17.60589918152878</v>
      </c>
      <c r="P113" s="934">
        <v>0</v>
      </c>
      <c r="Q113" s="934">
        <v>0.24819996413906853</v>
      </c>
      <c r="R113" s="935">
        <f t="shared" si="48"/>
        <v>3.2801342179288779</v>
      </c>
      <c r="S113" s="898">
        <f t="shared" si="49"/>
        <v>4.75</v>
      </c>
      <c r="T113" s="898">
        <f t="shared" si="50"/>
        <v>11.9</v>
      </c>
      <c r="U113" s="898">
        <f t="shared" si="51"/>
        <v>0.71345284799999997</v>
      </c>
      <c r="V113" s="898">
        <f t="shared" si="52"/>
        <v>0</v>
      </c>
      <c r="W113" s="945">
        <f t="shared" si="53"/>
        <v>1.2740286360000002</v>
      </c>
      <c r="X113" s="656">
        <f t="shared" si="86"/>
        <v>1</v>
      </c>
      <c r="Y113" s="656">
        <f t="shared" si="86"/>
        <v>1</v>
      </c>
      <c r="Z113" s="656">
        <f t="shared" si="86"/>
        <v>0</v>
      </c>
      <c r="AA113" s="656">
        <f t="shared" si="86"/>
        <v>0</v>
      </c>
      <c r="AB113" s="946">
        <f t="shared" si="86"/>
        <v>0</v>
      </c>
      <c r="AC113" s="1108"/>
      <c r="AD113" s="1029" t="s">
        <v>117</v>
      </c>
      <c r="AE113" s="1030">
        <v>27</v>
      </c>
      <c r="AF113" s="1001"/>
      <c r="AG113" s="1001">
        <f t="shared" si="75"/>
        <v>1</v>
      </c>
      <c r="AH113" s="1024">
        <f t="shared" si="76"/>
        <v>1</v>
      </c>
      <c r="AI113" s="1025">
        <f t="shared" si="77"/>
        <v>1</v>
      </c>
      <c r="AJ113" s="1025">
        <f t="shared" si="78"/>
        <v>1</v>
      </c>
      <c r="AK113" s="1025">
        <f t="shared" si="79"/>
        <v>1</v>
      </c>
      <c r="AL113" s="1026">
        <f t="shared" si="80"/>
        <v>1</v>
      </c>
      <c r="AM113" s="1027">
        <f t="shared" si="81"/>
        <v>0</v>
      </c>
      <c r="AN113" s="1028">
        <f t="shared" si="82"/>
        <v>0</v>
      </c>
      <c r="AO113" s="1028">
        <f t="shared" si="83"/>
        <v>0</v>
      </c>
      <c r="AP113" s="1028">
        <f t="shared" si="84"/>
        <v>1</v>
      </c>
      <c r="AQ113" s="1008">
        <f t="shared" si="85"/>
        <v>1</v>
      </c>
      <c r="AR113" s="1129"/>
      <c r="AS113" s="1129"/>
      <c r="AT113" s="1129"/>
      <c r="AU113" s="1119"/>
      <c r="AV113" s="1119"/>
      <c r="AW113" s="1119"/>
      <c r="AX113" s="1119"/>
      <c r="AY113" s="1119"/>
    </row>
    <row r="114" spans="1:51" ht="15">
      <c r="A114" s="1108"/>
      <c r="B114" s="957" t="s">
        <v>1332</v>
      </c>
      <c r="C114" s="927"/>
      <c r="D114" s="983" t="s">
        <v>1333</v>
      </c>
      <c r="E114" s="983">
        <v>76</v>
      </c>
      <c r="F114" s="929">
        <v>3</v>
      </c>
      <c r="G114" s="930">
        <v>6</v>
      </c>
      <c r="H114" s="958">
        <v>27.356284444444661</v>
      </c>
      <c r="I114" s="959">
        <v>3.2659999999999982</v>
      </c>
      <c r="J114" s="959">
        <v>94.503081111111101</v>
      </c>
      <c r="K114" s="959">
        <v>0.77249744463373071</v>
      </c>
      <c r="L114" s="944">
        <v>0</v>
      </c>
      <c r="M114" s="934">
        <v>5.9658699055988205</v>
      </c>
      <c r="N114" s="934">
        <v>0.42823091287239518</v>
      </c>
      <c r="O114" s="934">
        <v>17.60589918152878</v>
      </c>
      <c r="P114" s="934">
        <v>0</v>
      </c>
      <c r="Q114" s="934">
        <v>0.24819996413906853</v>
      </c>
      <c r="R114" s="935">
        <f t="shared" si="48"/>
        <v>6.214586700631151</v>
      </c>
      <c r="S114" s="898">
        <f t="shared" si="49"/>
        <v>13.667444944000019</v>
      </c>
      <c r="T114" s="898">
        <f t="shared" si="50"/>
        <v>6.3174449440000195</v>
      </c>
      <c r="U114" s="898">
        <f t="shared" si="51"/>
        <v>1.4125735608888954</v>
      </c>
      <c r="V114" s="898">
        <f t="shared" si="52"/>
        <v>0</v>
      </c>
      <c r="W114" s="945">
        <f t="shared" si="53"/>
        <v>2.3658372817777882</v>
      </c>
      <c r="X114" s="656">
        <f t="shared" si="86"/>
        <v>1</v>
      </c>
      <c r="Y114" s="656">
        <f t="shared" si="86"/>
        <v>1</v>
      </c>
      <c r="Z114" s="656">
        <f t="shared" si="86"/>
        <v>0</v>
      </c>
      <c r="AA114" s="656">
        <f t="shared" si="86"/>
        <v>0</v>
      </c>
      <c r="AB114" s="946">
        <f t="shared" si="86"/>
        <v>0</v>
      </c>
      <c r="AC114" s="1108"/>
      <c r="AD114" s="1029" t="s">
        <v>118</v>
      </c>
      <c r="AE114" s="1030">
        <v>28</v>
      </c>
      <c r="AF114" s="1001"/>
      <c r="AG114" s="1001">
        <f t="shared" si="75"/>
        <v>4</v>
      </c>
      <c r="AH114" s="1024">
        <f t="shared" si="76"/>
        <v>3</v>
      </c>
      <c r="AI114" s="1025">
        <f t="shared" si="77"/>
        <v>4</v>
      </c>
      <c r="AJ114" s="1025">
        <f t="shared" si="78"/>
        <v>0</v>
      </c>
      <c r="AK114" s="1025">
        <f t="shared" si="79"/>
        <v>0</v>
      </c>
      <c r="AL114" s="1026">
        <f t="shared" si="80"/>
        <v>0</v>
      </c>
      <c r="AM114" s="1027">
        <f t="shared" si="81"/>
        <v>-0.25</v>
      </c>
      <c r="AN114" s="1028">
        <f t="shared" si="82"/>
        <v>1</v>
      </c>
      <c r="AO114" s="1028">
        <f t="shared" si="83"/>
        <v>0</v>
      </c>
      <c r="AP114" s="1028">
        <f t="shared" si="84"/>
        <v>0</v>
      </c>
      <c r="AQ114" s="1008">
        <f t="shared" si="85"/>
        <v>0</v>
      </c>
      <c r="AR114" s="1129"/>
      <c r="AS114" s="1129"/>
      <c r="AT114" s="1129"/>
      <c r="AU114" s="1119"/>
      <c r="AV114" s="1119"/>
      <c r="AW114" s="1119"/>
      <c r="AX114" s="1119"/>
      <c r="AY114" s="1119"/>
    </row>
    <row r="115" spans="1:51" ht="15">
      <c r="A115" s="1108"/>
      <c r="B115" s="961">
        <v>20</v>
      </c>
      <c r="C115" s="927"/>
      <c r="D115" s="928" t="s">
        <v>135</v>
      </c>
      <c r="E115" s="928">
        <v>58</v>
      </c>
      <c r="F115" s="929">
        <v>3</v>
      </c>
      <c r="G115" s="930">
        <v>4.8</v>
      </c>
      <c r="H115" s="942">
        <v>2.325056</v>
      </c>
      <c r="I115" s="943">
        <v>0.96728499999999995</v>
      </c>
      <c r="J115" s="943">
        <v>49.179243999999997</v>
      </c>
      <c r="K115" s="943">
        <v>0.85833599999999999</v>
      </c>
      <c r="L115" s="944">
        <v>0</v>
      </c>
      <c r="M115" s="934">
        <v>5.9658699055988205</v>
      </c>
      <c r="N115" s="934">
        <v>0.42823091287239518</v>
      </c>
      <c r="O115" s="934">
        <v>17.60589918152878</v>
      </c>
      <c r="P115" s="934">
        <v>0</v>
      </c>
      <c r="Q115" s="934">
        <v>0.24819996413906853</v>
      </c>
      <c r="R115" s="935">
        <f t="shared" si="48"/>
        <v>4.3820249493138643</v>
      </c>
      <c r="S115" s="898">
        <f t="shared" si="49"/>
        <v>4.75</v>
      </c>
      <c r="T115" s="898">
        <f t="shared" si="50"/>
        <v>11.9</v>
      </c>
      <c r="U115" s="898">
        <f t="shared" si="51"/>
        <v>0.69</v>
      </c>
      <c r="V115" s="898">
        <f t="shared" si="52"/>
        <v>0</v>
      </c>
      <c r="W115" s="945">
        <f t="shared" si="53"/>
        <v>1.1618351936</v>
      </c>
      <c r="X115" s="656">
        <f t="shared" si="86"/>
        <v>1</v>
      </c>
      <c r="Y115" s="656">
        <f t="shared" si="86"/>
        <v>1</v>
      </c>
      <c r="Z115" s="656">
        <f t="shared" si="86"/>
        <v>0</v>
      </c>
      <c r="AA115" s="656">
        <f t="shared" si="86"/>
        <v>0</v>
      </c>
      <c r="AB115" s="946">
        <f t="shared" si="86"/>
        <v>0</v>
      </c>
      <c r="AC115" s="1108"/>
      <c r="AD115" s="1029" t="s">
        <v>119</v>
      </c>
      <c r="AE115" s="1030">
        <v>29</v>
      </c>
      <c r="AF115" s="1001"/>
      <c r="AG115" s="1001">
        <f t="shared" si="75"/>
        <v>11</v>
      </c>
      <c r="AH115" s="1024">
        <f t="shared" si="76"/>
        <v>11</v>
      </c>
      <c r="AI115" s="1025">
        <f t="shared" si="77"/>
        <v>11</v>
      </c>
      <c r="AJ115" s="1025">
        <f t="shared" si="78"/>
        <v>8</v>
      </c>
      <c r="AK115" s="1025">
        <f t="shared" si="79"/>
        <v>0</v>
      </c>
      <c r="AL115" s="1026">
        <f t="shared" si="80"/>
        <v>7</v>
      </c>
      <c r="AM115" s="1027">
        <f t="shared" si="81"/>
        <v>0</v>
      </c>
      <c r="AN115" s="1028">
        <f t="shared" si="82"/>
        <v>0.27272727272727271</v>
      </c>
      <c r="AO115" s="1028">
        <f t="shared" si="83"/>
        <v>0.72727272727272729</v>
      </c>
      <c r="AP115" s="1028">
        <f t="shared" si="84"/>
        <v>0</v>
      </c>
      <c r="AQ115" s="1008">
        <f t="shared" si="85"/>
        <v>0.63636363636363635</v>
      </c>
      <c r="AR115" s="1129"/>
      <c r="AS115" s="1129"/>
      <c r="AT115" s="1129"/>
      <c r="AU115" s="1119"/>
      <c r="AV115" s="1119"/>
      <c r="AW115" s="1119"/>
      <c r="AX115" s="1119"/>
      <c r="AY115" s="1119"/>
    </row>
    <row r="116" spans="1:51" ht="15">
      <c r="A116" s="1108"/>
      <c r="B116" s="926">
        <v>135</v>
      </c>
      <c r="C116" s="927"/>
      <c r="D116" s="970" t="s">
        <v>1334</v>
      </c>
      <c r="E116" s="970">
        <v>40</v>
      </c>
      <c r="F116" s="929">
        <v>4</v>
      </c>
      <c r="G116" s="930">
        <v>21.6</v>
      </c>
      <c r="H116" s="942">
        <v>21.083629999999999</v>
      </c>
      <c r="I116" s="943">
        <v>2.0530805208333298</v>
      </c>
      <c r="J116" s="943">
        <v>78.232189722222202</v>
      </c>
      <c r="K116" s="943">
        <v>0.35160540000000001</v>
      </c>
      <c r="L116" s="944">
        <v>0</v>
      </c>
      <c r="M116" s="934">
        <v>16.335040767152996</v>
      </c>
      <c r="N116" s="934">
        <v>0.89967812827865234</v>
      </c>
      <c r="O116" s="934">
        <v>6.7652811045683503</v>
      </c>
      <c r="P116" s="934">
        <v>0</v>
      </c>
      <c r="Q116" s="934">
        <v>0.47596663419067659</v>
      </c>
      <c r="R116" s="935">
        <f t="shared" si="48"/>
        <v>13.724564110672665</v>
      </c>
      <c r="S116" s="898">
        <f t="shared" si="49"/>
        <v>38.865677783000002</v>
      </c>
      <c r="T116" s="898">
        <f t="shared" si="50"/>
        <v>11.725677783</v>
      </c>
      <c r="U116" s="898">
        <f t="shared" si="51"/>
        <v>4.7506597959999999</v>
      </c>
      <c r="V116" s="898">
        <f t="shared" si="52"/>
        <v>0</v>
      </c>
      <c r="W116" s="945">
        <f t="shared" si="53"/>
        <v>7.1591405899999998</v>
      </c>
      <c r="X116" s="656">
        <f t="shared" si="86"/>
        <v>1</v>
      </c>
      <c r="Y116" s="656">
        <f t="shared" si="86"/>
        <v>0</v>
      </c>
      <c r="Z116" s="656">
        <f t="shared" si="86"/>
        <v>0</v>
      </c>
      <c r="AA116" s="656">
        <f t="shared" si="86"/>
        <v>0</v>
      </c>
      <c r="AB116" s="946">
        <f t="shared" si="86"/>
        <v>0</v>
      </c>
      <c r="AC116" s="1108"/>
      <c r="AD116" s="1029" t="s">
        <v>778</v>
      </c>
      <c r="AE116" s="1030">
        <v>30</v>
      </c>
      <c r="AF116" s="1001"/>
      <c r="AG116" s="1001">
        <f t="shared" si="75"/>
        <v>0</v>
      </c>
      <c r="AH116" s="1024">
        <f t="shared" si="76"/>
        <v>0</v>
      </c>
      <c r="AI116" s="1025">
        <f t="shared" si="77"/>
        <v>0</v>
      </c>
      <c r="AJ116" s="1025">
        <f t="shared" si="78"/>
        <v>0</v>
      </c>
      <c r="AK116" s="1025">
        <f t="shared" si="79"/>
        <v>0</v>
      </c>
      <c r="AL116" s="1026">
        <f t="shared" si="80"/>
        <v>0</v>
      </c>
      <c r="AM116" s="1027" t="str">
        <f t="shared" si="81"/>
        <v>-</v>
      </c>
      <c r="AN116" s="1028" t="str">
        <f t="shared" si="82"/>
        <v>-</v>
      </c>
      <c r="AO116" s="1028" t="str">
        <f t="shared" si="83"/>
        <v>-</v>
      </c>
      <c r="AP116" s="1028" t="str">
        <f t="shared" si="84"/>
        <v>-</v>
      </c>
      <c r="AQ116" s="1008" t="str">
        <f t="shared" si="85"/>
        <v>-</v>
      </c>
      <c r="AR116" s="1129"/>
      <c r="AS116" s="1129"/>
      <c r="AT116" s="1129"/>
      <c r="AU116" s="1119"/>
      <c r="AV116" s="1119"/>
      <c r="AW116" s="1119"/>
      <c r="AX116" s="1119"/>
      <c r="AY116" s="1119"/>
    </row>
    <row r="117" spans="1:51" ht="15">
      <c r="A117" s="1110"/>
      <c r="B117" s="926" t="s">
        <v>1335</v>
      </c>
      <c r="C117" s="927"/>
      <c r="D117" s="970" t="s">
        <v>1334</v>
      </c>
      <c r="E117" s="970">
        <v>40</v>
      </c>
      <c r="F117" s="929">
        <v>4</v>
      </c>
      <c r="G117" s="930" t="s">
        <v>1336</v>
      </c>
      <c r="H117" s="942">
        <v>29.493440888888955</v>
      </c>
      <c r="I117" s="943">
        <v>0.81064942013888763</v>
      </c>
      <c r="J117" s="943">
        <v>55.861461069444594</v>
      </c>
      <c r="K117" s="943">
        <v>0.19185120000000003</v>
      </c>
      <c r="L117" s="944">
        <v>0</v>
      </c>
      <c r="M117" s="934">
        <v>16.335040767152996</v>
      </c>
      <c r="N117" s="934">
        <v>0.89967812827865234</v>
      </c>
      <c r="O117" s="934">
        <v>6.7652811045683503</v>
      </c>
      <c r="P117" s="934">
        <v>0</v>
      </c>
      <c r="Q117" s="934">
        <v>0.47596663419067659</v>
      </c>
      <c r="R117" s="935">
        <f t="shared" si="48"/>
        <v>6.0972095306737337</v>
      </c>
      <c r="S117" s="898">
        <f t="shared" si="49"/>
        <v>40.834414512088905</v>
      </c>
      <c r="T117" s="898">
        <f t="shared" si="50"/>
        <v>13.694414512088905</v>
      </c>
      <c r="U117" s="898">
        <f t="shared" si="51"/>
        <v>5.5008149272888947</v>
      </c>
      <c r="V117" s="898">
        <f t="shared" si="52"/>
        <v>0</v>
      </c>
      <c r="W117" s="945">
        <f t="shared" si="53"/>
        <v>8.7822340915555692</v>
      </c>
      <c r="X117" s="656">
        <f t="shared" si="86"/>
        <v>1</v>
      </c>
      <c r="Y117" s="656">
        <f t="shared" si="86"/>
        <v>1</v>
      </c>
      <c r="Z117" s="656">
        <f t="shared" si="86"/>
        <v>0</v>
      </c>
      <c r="AA117" s="656">
        <f t="shared" si="86"/>
        <v>0</v>
      </c>
      <c r="AB117" s="946">
        <f t="shared" si="86"/>
        <v>1</v>
      </c>
      <c r="AC117" s="1108"/>
      <c r="AD117" s="1029" t="s">
        <v>184</v>
      </c>
      <c r="AE117" s="1030">
        <v>32</v>
      </c>
      <c r="AF117" s="1001"/>
      <c r="AG117" s="1001">
        <f t="shared" si="75"/>
        <v>5</v>
      </c>
      <c r="AH117" s="1024">
        <f t="shared" si="76"/>
        <v>5</v>
      </c>
      <c r="AI117" s="1025">
        <f t="shared" si="77"/>
        <v>2</v>
      </c>
      <c r="AJ117" s="1025">
        <f t="shared" si="78"/>
        <v>0</v>
      </c>
      <c r="AK117" s="1025">
        <f t="shared" si="79"/>
        <v>0</v>
      </c>
      <c r="AL117" s="1026">
        <f t="shared" si="80"/>
        <v>0</v>
      </c>
      <c r="AM117" s="1027">
        <f t="shared" si="81"/>
        <v>0.6</v>
      </c>
      <c r="AN117" s="1028">
        <f t="shared" si="82"/>
        <v>0.4</v>
      </c>
      <c r="AO117" s="1028">
        <f t="shared" si="83"/>
        <v>0</v>
      </c>
      <c r="AP117" s="1028">
        <f t="shared" si="84"/>
        <v>0</v>
      </c>
      <c r="AQ117" s="1008">
        <f t="shared" si="85"/>
        <v>0</v>
      </c>
      <c r="AR117" s="1129"/>
      <c r="AS117" s="1129"/>
      <c r="AT117" s="1129"/>
      <c r="AU117" s="1119"/>
      <c r="AV117" s="1119"/>
      <c r="AW117" s="1119"/>
      <c r="AX117" s="1119"/>
      <c r="AY117" s="1119"/>
    </row>
    <row r="118" spans="1:51" ht="15">
      <c r="A118" s="1110"/>
      <c r="B118" s="926" t="s">
        <v>1337</v>
      </c>
      <c r="C118" s="927"/>
      <c r="D118" s="970" t="s">
        <v>1334</v>
      </c>
      <c r="E118" s="970">
        <v>40</v>
      </c>
      <c r="F118" s="929">
        <v>4</v>
      </c>
      <c r="G118" s="930" t="s">
        <v>1338</v>
      </c>
      <c r="H118" s="942">
        <v>18.542380888888843</v>
      </c>
      <c r="I118" s="943">
        <v>1.1475964583333271</v>
      </c>
      <c r="J118" s="943">
        <v>55.720193769583666</v>
      </c>
      <c r="K118" s="943">
        <v>0.87321000000000004</v>
      </c>
      <c r="L118" s="944">
        <v>0</v>
      </c>
      <c r="M118" s="934">
        <v>16.335040767152996</v>
      </c>
      <c r="N118" s="934">
        <v>0.89967812827865234</v>
      </c>
      <c r="O118" s="934">
        <v>6.7652811045683503</v>
      </c>
      <c r="P118" s="934">
        <v>0</v>
      </c>
      <c r="Q118" s="934">
        <v>0.47596663419067659</v>
      </c>
      <c r="R118" s="935">
        <f t="shared" si="48"/>
        <v>8.8030037030553778</v>
      </c>
      <c r="S118" s="898">
        <f t="shared" si="49"/>
        <v>38.27077136608888</v>
      </c>
      <c r="T118" s="898">
        <f t="shared" si="50"/>
        <v>11.130771366088879</v>
      </c>
      <c r="U118" s="898">
        <f t="shared" si="51"/>
        <v>4.5239803752888852</v>
      </c>
      <c r="V118" s="898">
        <f t="shared" si="52"/>
        <v>0</v>
      </c>
      <c r="W118" s="945">
        <f t="shared" si="53"/>
        <v>6.6686795115555473</v>
      </c>
      <c r="X118" s="656">
        <f t="shared" si="86"/>
        <v>1</v>
      </c>
      <c r="Y118" s="656">
        <f t="shared" si="86"/>
        <v>1</v>
      </c>
      <c r="Z118" s="656">
        <f t="shared" si="86"/>
        <v>0</v>
      </c>
      <c r="AA118" s="656">
        <f t="shared" si="86"/>
        <v>0</v>
      </c>
      <c r="AB118" s="946">
        <f t="shared" si="86"/>
        <v>0</v>
      </c>
      <c r="AC118" s="1108"/>
      <c r="AD118" s="1029" t="s">
        <v>215</v>
      </c>
      <c r="AE118" s="1030">
        <v>33</v>
      </c>
      <c r="AF118" s="1001"/>
      <c r="AG118" s="1001">
        <f t="shared" si="75"/>
        <v>18</v>
      </c>
      <c r="AH118" s="1024">
        <f t="shared" si="76"/>
        <v>8</v>
      </c>
      <c r="AI118" s="1025">
        <f t="shared" si="77"/>
        <v>5</v>
      </c>
      <c r="AJ118" s="1025">
        <f t="shared" si="78"/>
        <v>2</v>
      </c>
      <c r="AK118" s="1025">
        <f t="shared" si="79"/>
        <v>0</v>
      </c>
      <c r="AL118" s="1026">
        <f t="shared" si="80"/>
        <v>1</v>
      </c>
      <c r="AM118" s="1027">
        <f t="shared" si="81"/>
        <v>0.16666666666666666</v>
      </c>
      <c r="AN118" s="1028">
        <f t="shared" si="82"/>
        <v>0.16666666666666666</v>
      </c>
      <c r="AO118" s="1028">
        <f t="shared" si="83"/>
        <v>0.1111111111111111</v>
      </c>
      <c r="AP118" s="1028">
        <f t="shared" si="84"/>
        <v>0</v>
      </c>
      <c r="AQ118" s="1008">
        <f t="shared" si="85"/>
        <v>5.5555555555555552E-2</v>
      </c>
      <c r="AR118" s="1129"/>
      <c r="AS118" s="1129"/>
      <c r="AT118" s="1129"/>
      <c r="AU118" s="1119"/>
      <c r="AV118" s="1119"/>
      <c r="AW118" s="1119"/>
      <c r="AX118" s="1119"/>
      <c r="AY118" s="1119"/>
    </row>
    <row r="119" spans="1:51" ht="15">
      <c r="A119" s="1110"/>
      <c r="B119" s="926" t="s">
        <v>1339</v>
      </c>
      <c r="C119" s="927"/>
      <c r="D119" s="970" t="s">
        <v>1334</v>
      </c>
      <c r="E119" s="970">
        <v>40</v>
      </c>
      <c r="F119" s="929">
        <v>4</v>
      </c>
      <c r="G119" s="930">
        <v>18</v>
      </c>
      <c r="H119" s="942">
        <v>26.797465525000053</v>
      </c>
      <c r="I119" s="943">
        <v>0.46072217708333285</v>
      </c>
      <c r="J119" s="943">
        <v>50.771630511805505</v>
      </c>
      <c r="K119" s="943">
        <v>0.47261219999999998</v>
      </c>
      <c r="L119" s="944">
        <v>0</v>
      </c>
      <c r="M119" s="934">
        <v>16.335040767152996</v>
      </c>
      <c r="N119" s="934">
        <v>0.89967812827865234</v>
      </c>
      <c r="O119" s="934">
        <v>6.7652811045683503</v>
      </c>
      <c r="P119" s="934">
        <v>0</v>
      </c>
      <c r="Q119" s="934">
        <v>0.47596663419067659</v>
      </c>
      <c r="R119" s="935">
        <f t="shared" si="48"/>
        <v>5.1461699694187164</v>
      </c>
      <c r="S119" s="898">
        <f t="shared" si="49"/>
        <v>40.20328667940251</v>
      </c>
      <c r="T119" s="898">
        <f t="shared" si="50"/>
        <v>13.063286679402513</v>
      </c>
      <c r="U119" s="898">
        <f t="shared" si="51"/>
        <v>5.2603339248300047</v>
      </c>
      <c r="V119" s="898">
        <f t="shared" si="52"/>
        <v>0</v>
      </c>
      <c r="W119" s="945">
        <f t="shared" si="53"/>
        <v>8.2619108463250104</v>
      </c>
      <c r="X119" s="656">
        <f t="shared" si="86"/>
        <v>1</v>
      </c>
      <c r="Y119" s="656">
        <f t="shared" si="86"/>
        <v>1</v>
      </c>
      <c r="Z119" s="656">
        <f t="shared" si="86"/>
        <v>1</v>
      </c>
      <c r="AA119" s="656">
        <f t="shared" si="86"/>
        <v>0</v>
      </c>
      <c r="AB119" s="946">
        <f t="shared" si="86"/>
        <v>1</v>
      </c>
      <c r="AC119" s="1108"/>
      <c r="AD119" s="1029" t="s">
        <v>1158</v>
      </c>
      <c r="AE119" s="1030">
        <v>32</v>
      </c>
      <c r="AF119" s="1001">
        <v>33</v>
      </c>
      <c r="AG119" s="1001">
        <f>COUNTIF(Application_num_bc,AE119)+COUNTIF(Application_num_bc,AF119)</f>
        <v>23</v>
      </c>
      <c r="AH119" s="1024">
        <f>SUMIFS(Check0_BC,Application_num_bc,$AE119)+SUMIFS(Check0_BC,Application_num_bc,$AF119)</f>
        <v>13</v>
      </c>
      <c r="AI119" s="1025">
        <f>SUMIFS(Check1_BC,Application_num_bc,$AE119)+SUMIFS(Check1_BC,Application_num_bc,$AF119)</f>
        <v>7</v>
      </c>
      <c r="AJ119" s="1025">
        <f>SUMIFS(Check2_BC,Application_num_bc,$AE119)+SUMIFS(Check2_BC,Application_num_bc,$AF119)</f>
        <v>2</v>
      </c>
      <c r="AK119" s="1025">
        <f>SUMIFS(Check3_BC,Application_num_bc,$AE119)+SUMIFS(Check3_BC,Application_num_bc,$AF119)</f>
        <v>0</v>
      </c>
      <c r="AL119" s="1026">
        <f>SUMIFS(Check_PGE_bc,Application_num_bc,$AE119)+SUMIFS(Check_PGE_bc,Application_num_bc,$AF119)</f>
        <v>1</v>
      </c>
      <c r="AM119" s="1027">
        <f t="shared" si="81"/>
        <v>0.2608695652173913</v>
      </c>
      <c r="AN119" s="1028">
        <f t="shared" si="82"/>
        <v>0.21739130434782608</v>
      </c>
      <c r="AO119" s="1028">
        <f t="shared" si="83"/>
        <v>8.6956521739130432E-2</v>
      </c>
      <c r="AP119" s="1028">
        <f t="shared" si="84"/>
        <v>0</v>
      </c>
      <c r="AQ119" s="1008">
        <f t="shared" si="85"/>
        <v>4.3478260869565216E-2</v>
      </c>
      <c r="AR119" s="1129"/>
      <c r="AS119" s="1129"/>
      <c r="AT119" s="1129"/>
      <c r="AU119" s="1119"/>
      <c r="AV119" s="1119"/>
      <c r="AW119" s="1119"/>
      <c r="AX119" s="1119"/>
      <c r="AY119" s="1119"/>
    </row>
    <row r="120" spans="1:51" ht="15">
      <c r="A120" s="1108"/>
      <c r="B120" s="926" t="s">
        <v>1340</v>
      </c>
      <c r="C120" s="927"/>
      <c r="D120" s="970" t="s">
        <v>1334</v>
      </c>
      <c r="E120" s="970">
        <v>40</v>
      </c>
      <c r="F120" s="929">
        <v>4</v>
      </c>
      <c r="G120" s="930">
        <v>23</v>
      </c>
      <c r="H120" s="942">
        <v>26.180608722222633</v>
      </c>
      <c r="I120" s="943">
        <v>2.3180599305555485</v>
      </c>
      <c r="J120" s="943">
        <v>61.786932798333723</v>
      </c>
      <c r="K120" s="943">
        <v>0.17632800000000001</v>
      </c>
      <c r="L120" s="944">
        <v>0</v>
      </c>
      <c r="M120" s="934">
        <v>16.335040767152996</v>
      </c>
      <c r="N120" s="934">
        <v>0.89967812827865234</v>
      </c>
      <c r="O120" s="934">
        <v>6.7652811045683503</v>
      </c>
      <c r="P120" s="934">
        <v>0</v>
      </c>
      <c r="Q120" s="934">
        <v>0.47596663419067659</v>
      </c>
      <c r="R120" s="935">
        <f t="shared" si="48"/>
        <v>10.399581367205956</v>
      </c>
      <c r="S120" s="898">
        <f t="shared" si="49"/>
        <v>40.058880501872316</v>
      </c>
      <c r="T120" s="898">
        <f t="shared" si="50"/>
        <v>12.918880501872319</v>
      </c>
      <c r="U120" s="898">
        <f t="shared" si="51"/>
        <v>5.2053102980222592</v>
      </c>
      <c r="V120" s="898">
        <f t="shared" si="52"/>
        <v>0</v>
      </c>
      <c r="W120" s="945">
        <f t="shared" si="53"/>
        <v>8.1428574833889691</v>
      </c>
      <c r="X120" s="656">
        <f t="shared" si="86"/>
        <v>1</v>
      </c>
      <c r="Y120" s="656">
        <f t="shared" si="86"/>
        <v>1</v>
      </c>
      <c r="Z120" s="656">
        <f t="shared" si="86"/>
        <v>0</v>
      </c>
      <c r="AA120" s="656">
        <f t="shared" si="86"/>
        <v>0</v>
      </c>
      <c r="AB120" s="946">
        <f t="shared" si="86"/>
        <v>0</v>
      </c>
      <c r="AC120" s="1108"/>
      <c r="AD120" s="1029" t="s">
        <v>121</v>
      </c>
      <c r="AE120" s="1030">
        <v>34</v>
      </c>
      <c r="AF120" s="1001"/>
      <c r="AG120" s="1001">
        <f t="shared" ref="AG120:AG137" si="87">COUNTIF(Application_num_bc,AE120)</f>
        <v>0</v>
      </c>
      <c r="AH120" s="1024">
        <f t="shared" ref="AH120:AH137" si="88">SUMIFS(Check0_BC,Application_num_bc,$AE120)</f>
        <v>0</v>
      </c>
      <c r="AI120" s="1025">
        <f t="shared" ref="AI120:AI137" si="89">SUMIFS(Check1_BC,Application_num_bc,$AE120)</f>
        <v>0</v>
      </c>
      <c r="AJ120" s="1025">
        <f t="shared" ref="AJ120:AJ137" si="90">SUMIFS(Check2_BC,Application_num_bc,$AE120)</f>
        <v>0</v>
      </c>
      <c r="AK120" s="1025">
        <f t="shared" ref="AK120:AK137" si="91">SUMIFS(Check3_BC,Application_num_bc,$AE120)</f>
        <v>0</v>
      </c>
      <c r="AL120" s="1026">
        <f t="shared" ref="AL120:AL137" si="92">SUMIFS(Check_PGE_bc,Application_num_bc,$AE120)</f>
        <v>0</v>
      </c>
      <c r="AM120" s="1027" t="str">
        <f t="shared" si="81"/>
        <v>-</v>
      </c>
      <c r="AN120" s="1028" t="str">
        <f t="shared" si="82"/>
        <v>-</v>
      </c>
      <c r="AO120" s="1028" t="str">
        <f t="shared" si="83"/>
        <v>-</v>
      </c>
      <c r="AP120" s="1028" t="str">
        <f t="shared" si="84"/>
        <v>-</v>
      </c>
      <c r="AQ120" s="1008" t="str">
        <f t="shared" si="85"/>
        <v>-</v>
      </c>
      <c r="AR120" s="1129"/>
      <c r="AS120" s="1129"/>
      <c r="AT120" s="1129"/>
      <c r="AU120" s="1119"/>
      <c r="AV120" s="1119"/>
      <c r="AW120" s="1119"/>
      <c r="AX120" s="1119"/>
      <c r="AY120" s="1119"/>
    </row>
    <row r="121" spans="1:51" ht="15">
      <c r="A121" s="1109"/>
      <c r="B121" s="926">
        <v>1045</v>
      </c>
      <c r="C121" s="927"/>
      <c r="D121" s="970" t="s">
        <v>1334</v>
      </c>
      <c r="E121" s="970">
        <v>40</v>
      </c>
      <c r="F121" s="929">
        <v>4</v>
      </c>
      <c r="G121" s="930">
        <v>18</v>
      </c>
      <c r="H121" s="942">
        <v>19.174674393930012</v>
      </c>
      <c r="I121" s="943">
        <v>0.54763333333332398</v>
      </c>
      <c r="J121" s="943">
        <v>43.338000000000001</v>
      </c>
      <c r="K121" s="943">
        <v>0.32433333333333336</v>
      </c>
      <c r="L121" s="944">
        <v>0</v>
      </c>
      <c r="M121" s="934">
        <v>16.335040767152996</v>
      </c>
      <c r="N121" s="934">
        <v>0.89967812827865234</v>
      </c>
      <c r="O121" s="934">
        <v>6.7652811045683503</v>
      </c>
      <c r="P121" s="934">
        <v>0</v>
      </c>
      <c r="Q121" s="934">
        <v>0.47596663419067659</v>
      </c>
      <c r="R121" s="935">
        <f t="shared" si="48"/>
        <v>5.2861564915531574</v>
      </c>
      <c r="S121" s="898">
        <f t="shared" si="49"/>
        <v>38.418791275619014</v>
      </c>
      <c r="T121" s="898">
        <f t="shared" si="50"/>
        <v>11.278791275619016</v>
      </c>
      <c r="U121" s="898">
        <f t="shared" si="51"/>
        <v>4.5803809559385567</v>
      </c>
      <c r="V121" s="898">
        <f t="shared" si="52"/>
        <v>0</v>
      </c>
      <c r="W121" s="945">
        <f t="shared" si="53"/>
        <v>6.7907121580284926</v>
      </c>
      <c r="X121" s="656">
        <f t="shared" si="86"/>
        <v>1</v>
      </c>
      <c r="Y121" s="656">
        <f t="shared" si="86"/>
        <v>1</v>
      </c>
      <c r="Z121" s="656">
        <f t="shared" si="86"/>
        <v>0</v>
      </c>
      <c r="AA121" s="656">
        <f t="shared" si="86"/>
        <v>0</v>
      </c>
      <c r="AB121" s="946">
        <f t="shared" si="86"/>
        <v>1</v>
      </c>
      <c r="AC121" s="1108"/>
      <c r="AD121" s="1029" t="s">
        <v>122</v>
      </c>
      <c r="AE121" s="1030">
        <v>35</v>
      </c>
      <c r="AF121" s="1001"/>
      <c r="AG121" s="1001">
        <f t="shared" si="87"/>
        <v>0</v>
      </c>
      <c r="AH121" s="1024">
        <f t="shared" si="88"/>
        <v>0</v>
      </c>
      <c r="AI121" s="1025">
        <f t="shared" si="89"/>
        <v>0</v>
      </c>
      <c r="AJ121" s="1025">
        <f t="shared" si="90"/>
        <v>0</v>
      </c>
      <c r="AK121" s="1025">
        <f t="shared" si="91"/>
        <v>0</v>
      </c>
      <c r="AL121" s="1026">
        <f t="shared" si="92"/>
        <v>0</v>
      </c>
      <c r="AM121" s="1027" t="str">
        <f t="shared" si="81"/>
        <v>-</v>
      </c>
      <c r="AN121" s="1028" t="str">
        <f t="shared" si="82"/>
        <v>-</v>
      </c>
      <c r="AO121" s="1028" t="str">
        <f t="shared" si="83"/>
        <v>-</v>
      </c>
      <c r="AP121" s="1028" t="str">
        <f t="shared" si="84"/>
        <v>-</v>
      </c>
      <c r="AQ121" s="1008" t="str">
        <f t="shared" si="85"/>
        <v>-</v>
      </c>
      <c r="AR121" s="1129"/>
      <c r="AS121" s="1129"/>
      <c r="AT121" s="1129"/>
      <c r="AU121" s="1119"/>
      <c r="AV121" s="1119"/>
      <c r="AW121" s="1119"/>
      <c r="AX121" s="1119"/>
      <c r="AY121" s="1119"/>
    </row>
    <row r="122" spans="1:51" ht="15">
      <c r="A122" s="1109"/>
      <c r="B122" s="961" t="s">
        <v>1341</v>
      </c>
      <c r="C122" s="927"/>
      <c r="D122" s="928" t="s">
        <v>1284</v>
      </c>
      <c r="E122" s="928">
        <v>59</v>
      </c>
      <c r="F122" s="929">
        <v>4</v>
      </c>
      <c r="G122" s="930">
        <v>21</v>
      </c>
      <c r="H122" s="942">
        <v>22.498247150000022</v>
      </c>
      <c r="I122" s="943">
        <v>0.72625151388889153</v>
      </c>
      <c r="J122" s="943">
        <v>46.089847219444046</v>
      </c>
      <c r="K122" s="943">
        <v>0.66510600000000009</v>
      </c>
      <c r="L122" s="944">
        <v>0</v>
      </c>
      <c r="M122" s="934">
        <v>16.335040767152996</v>
      </c>
      <c r="N122" s="934">
        <v>0.89967812827865234</v>
      </c>
      <c r="O122" s="934">
        <v>6.7652811045683503</v>
      </c>
      <c r="P122" s="934">
        <v>0</v>
      </c>
      <c r="Q122" s="934">
        <v>0.47596663419067659</v>
      </c>
      <c r="R122" s="935">
        <f t="shared" si="48"/>
        <v>5.6189662786176964</v>
      </c>
      <c r="S122" s="898">
        <f t="shared" si="49"/>
        <v>39.196839657815005</v>
      </c>
      <c r="T122" s="898">
        <f t="shared" si="50"/>
        <v>12.056839657815004</v>
      </c>
      <c r="U122" s="898">
        <f t="shared" si="51"/>
        <v>4.876843645780002</v>
      </c>
      <c r="V122" s="898">
        <f t="shared" si="52"/>
        <v>0</v>
      </c>
      <c r="W122" s="945">
        <f t="shared" si="53"/>
        <v>7.4321616999500044</v>
      </c>
      <c r="X122" s="656">
        <f t="shared" si="86"/>
        <v>1</v>
      </c>
      <c r="Y122" s="656">
        <f t="shared" si="86"/>
        <v>1</v>
      </c>
      <c r="Z122" s="656">
        <f t="shared" si="86"/>
        <v>0</v>
      </c>
      <c r="AA122" s="656">
        <f t="shared" si="86"/>
        <v>0</v>
      </c>
      <c r="AB122" s="946">
        <f t="shared" si="86"/>
        <v>1</v>
      </c>
      <c r="AC122" s="1108"/>
      <c r="AD122" s="1029" t="s">
        <v>133</v>
      </c>
      <c r="AE122" s="1030">
        <v>37</v>
      </c>
      <c r="AF122" s="1001"/>
      <c r="AG122" s="1001">
        <f t="shared" si="87"/>
        <v>1</v>
      </c>
      <c r="AH122" s="1024">
        <f t="shared" si="88"/>
        <v>0</v>
      </c>
      <c r="AI122" s="1025">
        <f t="shared" si="89"/>
        <v>0</v>
      </c>
      <c r="AJ122" s="1025">
        <f t="shared" si="90"/>
        <v>0</v>
      </c>
      <c r="AK122" s="1025">
        <f t="shared" si="91"/>
        <v>0</v>
      </c>
      <c r="AL122" s="1026">
        <f t="shared" si="92"/>
        <v>0</v>
      </c>
      <c r="AM122" s="1027">
        <f t="shared" si="81"/>
        <v>0</v>
      </c>
      <c r="AN122" s="1028">
        <f t="shared" si="82"/>
        <v>0</v>
      </c>
      <c r="AO122" s="1028">
        <f t="shared" si="83"/>
        <v>0</v>
      </c>
      <c r="AP122" s="1028">
        <f t="shared" si="84"/>
        <v>0</v>
      </c>
      <c r="AQ122" s="1008">
        <f t="shared" si="85"/>
        <v>0</v>
      </c>
      <c r="AR122" s="1129"/>
      <c r="AS122" s="1129"/>
      <c r="AT122" s="1129"/>
      <c r="AU122" s="1119"/>
      <c r="AV122" s="1119"/>
      <c r="AW122" s="1119"/>
      <c r="AX122" s="1119"/>
      <c r="AY122" s="1119"/>
    </row>
    <row r="123" spans="1:51" ht="15">
      <c r="A123" s="1108"/>
      <c r="B123" s="961">
        <v>8</v>
      </c>
      <c r="C123" s="927"/>
      <c r="D123" s="928" t="s">
        <v>1321</v>
      </c>
      <c r="E123" s="928">
        <v>72</v>
      </c>
      <c r="F123" s="929">
        <v>4</v>
      </c>
      <c r="G123" s="930">
        <v>18</v>
      </c>
      <c r="H123" s="942">
        <v>20.117529999999999</v>
      </c>
      <c r="I123" s="943">
        <v>1.1256349999999999</v>
      </c>
      <c r="J123" s="943">
        <v>60.673810000000003</v>
      </c>
      <c r="K123" s="943">
        <v>0.85966199999999993</v>
      </c>
      <c r="L123" s="944">
        <v>0</v>
      </c>
      <c r="M123" s="934">
        <v>16.335040767152996</v>
      </c>
      <c r="N123" s="934">
        <v>0.89967812827865234</v>
      </c>
      <c r="O123" s="934">
        <v>6.7652811045683503</v>
      </c>
      <c r="P123" s="934">
        <v>0</v>
      </c>
      <c r="Q123" s="934">
        <v>0.47596663419067659</v>
      </c>
      <c r="R123" s="935">
        <f t="shared" si="48"/>
        <v>9.3461155200300698</v>
      </c>
      <c r="S123" s="898">
        <f t="shared" si="49"/>
        <v>38.639513772999997</v>
      </c>
      <c r="T123" s="898">
        <f t="shared" si="50"/>
        <v>11.499513773</v>
      </c>
      <c r="U123" s="898">
        <f t="shared" si="51"/>
        <v>4.6644836759999997</v>
      </c>
      <c r="V123" s="898">
        <f t="shared" si="52"/>
        <v>0</v>
      </c>
      <c r="W123" s="945">
        <f t="shared" si="53"/>
        <v>6.9726832899999991</v>
      </c>
      <c r="X123" s="656">
        <f t="shared" si="86"/>
        <v>1</v>
      </c>
      <c r="Y123" s="656">
        <f t="shared" si="86"/>
        <v>1</v>
      </c>
      <c r="Z123" s="656">
        <f t="shared" si="86"/>
        <v>0</v>
      </c>
      <c r="AA123" s="656">
        <f t="shared" si="86"/>
        <v>0</v>
      </c>
      <c r="AB123" s="946">
        <f t="shared" si="86"/>
        <v>0</v>
      </c>
      <c r="AC123" s="1108"/>
      <c r="AD123" s="1029" t="s">
        <v>226</v>
      </c>
      <c r="AE123" s="1030">
        <v>38</v>
      </c>
      <c r="AF123" s="1001"/>
      <c r="AG123" s="1001">
        <f t="shared" si="87"/>
        <v>2</v>
      </c>
      <c r="AH123" s="1024">
        <f t="shared" si="88"/>
        <v>2</v>
      </c>
      <c r="AI123" s="1025">
        <f t="shared" si="89"/>
        <v>2</v>
      </c>
      <c r="AJ123" s="1025">
        <f t="shared" si="90"/>
        <v>2</v>
      </c>
      <c r="AK123" s="1025">
        <f t="shared" si="91"/>
        <v>0</v>
      </c>
      <c r="AL123" s="1026">
        <f t="shared" si="92"/>
        <v>2</v>
      </c>
      <c r="AM123" s="1027">
        <f t="shared" si="81"/>
        <v>0</v>
      </c>
      <c r="AN123" s="1028">
        <f t="shared" si="82"/>
        <v>0</v>
      </c>
      <c r="AO123" s="1028">
        <f t="shared" si="83"/>
        <v>1</v>
      </c>
      <c r="AP123" s="1028">
        <f t="shared" si="84"/>
        <v>0</v>
      </c>
      <c r="AQ123" s="1008">
        <f t="shared" si="85"/>
        <v>1</v>
      </c>
      <c r="AR123" s="1129"/>
      <c r="AS123" s="1129"/>
      <c r="AT123" s="1129"/>
      <c r="AU123" s="1119"/>
      <c r="AV123" s="1119"/>
      <c r="AW123" s="1119"/>
      <c r="AX123" s="1119"/>
      <c r="AY123" s="1119"/>
    </row>
    <row r="124" spans="1:51" ht="15">
      <c r="A124" s="1108"/>
      <c r="B124" s="961">
        <v>19</v>
      </c>
      <c r="C124" s="927"/>
      <c r="D124" s="928" t="s">
        <v>1321</v>
      </c>
      <c r="E124" s="928">
        <v>71</v>
      </c>
      <c r="F124" s="929">
        <v>4</v>
      </c>
      <c r="G124" s="930">
        <v>14.4</v>
      </c>
      <c r="H124" s="942">
        <v>39.382407999999998</v>
      </c>
      <c r="I124" s="943">
        <v>2.582408</v>
      </c>
      <c r="J124" s="943">
        <v>113.40013999999999</v>
      </c>
      <c r="K124" s="943">
        <v>0.63819599999999999</v>
      </c>
      <c r="L124" s="944">
        <v>0</v>
      </c>
      <c r="M124" s="934">
        <v>16.335040767152996</v>
      </c>
      <c r="N124" s="934">
        <v>0.89967812827865234</v>
      </c>
      <c r="O124" s="934">
        <v>6.7652811045683503</v>
      </c>
      <c r="P124" s="934">
        <v>0</v>
      </c>
      <c r="Q124" s="934">
        <v>0.47596663419067659</v>
      </c>
      <c r="R124" s="935">
        <f t="shared" si="48"/>
        <v>17.698310040109643</v>
      </c>
      <c r="S124" s="898">
        <f t="shared" si="49"/>
        <v>43.149421712799999</v>
      </c>
      <c r="T124" s="898">
        <f t="shared" si="50"/>
        <v>16.009421712799998</v>
      </c>
      <c r="U124" s="898">
        <f t="shared" si="51"/>
        <v>6.3829107935999998</v>
      </c>
      <c r="V124" s="898">
        <f t="shared" si="52"/>
        <v>0</v>
      </c>
      <c r="W124" s="945">
        <f t="shared" si="53"/>
        <v>10.690804743999999</v>
      </c>
      <c r="X124" s="656">
        <f t="shared" si="86"/>
        <v>1</v>
      </c>
      <c r="Y124" s="656">
        <f t="shared" si="86"/>
        <v>0</v>
      </c>
      <c r="Z124" s="656">
        <f t="shared" si="86"/>
        <v>0</v>
      </c>
      <c r="AA124" s="656">
        <f t="shared" si="86"/>
        <v>0</v>
      </c>
      <c r="AB124" s="946">
        <f t="shared" si="86"/>
        <v>0</v>
      </c>
      <c r="AC124" s="1108"/>
      <c r="AD124" s="1029" t="s">
        <v>197</v>
      </c>
      <c r="AE124" s="1030">
        <v>39</v>
      </c>
      <c r="AF124" s="1001"/>
      <c r="AG124" s="1001">
        <f t="shared" si="87"/>
        <v>0</v>
      </c>
      <c r="AH124" s="1024">
        <f t="shared" si="88"/>
        <v>0</v>
      </c>
      <c r="AI124" s="1025">
        <f t="shared" si="89"/>
        <v>0</v>
      </c>
      <c r="AJ124" s="1025">
        <f t="shared" si="90"/>
        <v>0</v>
      </c>
      <c r="AK124" s="1025">
        <f t="shared" si="91"/>
        <v>0</v>
      </c>
      <c r="AL124" s="1026">
        <f t="shared" si="92"/>
        <v>0</v>
      </c>
      <c r="AM124" s="1027" t="str">
        <f t="shared" si="81"/>
        <v>-</v>
      </c>
      <c r="AN124" s="1028" t="str">
        <f t="shared" si="82"/>
        <v>-</v>
      </c>
      <c r="AO124" s="1028" t="str">
        <f t="shared" si="83"/>
        <v>-</v>
      </c>
      <c r="AP124" s="1028" t="str">
        <f t="shared" si="84"/>
        <v>-</v>
      </c>
      <c r="AQ124" s="1008" t="str">
        <f t="shared" si="85"/>
        <v>-</v>
      </c>
      <c r="AR124" s="1129"/>
      <c r="AS124" s="1129"/>
      <c r="AT124" s="1129"/>
      <c r="AU124" s="1119"/>
      <c r="AV124" s="1119"/>
      <c r="AW124" s="1119"/>
      <c r="AX124" s="1119"/>
      <c r="AY124" s="1119"/>
    </row>
    <row r="125" spans="1:51" ht="15">
      <c r="A125" s="1108"/>
      <c r="B125" s="961">
        <v>23</v>
      </c>
      <c r="C125" s="927"/>
      <c r="D125" s="928" t="s">
        <v>1321</v>
      </c>
      <c r="E125" s="928">
        <v>72</v>
      </c>
      <c r="F125" s="929">
        <v>4</v>
      </c>
      <c r="G125" s="930">
        <v>18</v>
      </c>
      <c r="H125" s="942">
        <v>15.72678</v>
      </c>
      <c r="I125" s="943">
        <v>10.41813</v>
      </c>
      <c r="J125" s="943">
        <v>237.48966999999999</v>
      </c>
      <c r="K125" s="943">
        <v>1.7668380000000001</v>
      </c>
      <c r="L125" s="944">
        <v>0</v>
      </c>
      <c r="M125" s="934">
        <v>16.335040767152996</v>
      </c>
      <c r="N125" s="934">
        <v>0.89967812827865234</v>
      </c>
      <c r="O125" s="934">
        <v>6.7652811045683503</v>
      </c>
      <c r="P125" s="934">
        <v>0</v>
      </c>
      <c r="Q125" s="934">
        <v>0.47596663419067659</v>
      </c>
      <c r="R125" s="935">
        <f t="shared" si="48"/>
        <v>57.7844368506235</v>
      </c>
      <c r="S125" s="898">
        <f t="shared" si="49"/>
        <v>37.611639197999999</v>
      </c>
      <c r="T125" s="898">
        <f t="shared" si="50"/>
        <v>10.471639198</v>
      </c>
      <c r="U125" s="898">
        <f t="shared" si="51"/>
        <v>4.2728287759999999</v>
      </c>
      <c r="V125" s="898">
        <f t="shared" si="52"/>
        <v>0</v>
      </c>
      <c r="W125" s="945">
        <f t="shared" si="53"/>
        <v>6.1252685400000004</v>
      </c>
      <c r="X125" s="656">
        <f t="shared" si="86"/>
        <v>0</v>
      </c>
      <c r="Y125" s="656">
        <f t="shared" si="86"/>
        <v>0</v>
      </c>
      <c r="Z125" s="656">
        <f t="shared" si="86"/>
        <v>0</v>
      </c>
      <c r="AA125" s="656">
        <f t="shared" si="86"/>
        <v>0</v>
      </c>
      <c r="AB125" s="946">
        <f t="shared" si="86"/>
        <v>0</v>
      </c>
      <c r="AC125" s="1108"/>
      <c r="AD125" s="1029" t="s">
        <v>126</v>
      </c>
      <c r="AE125" s="1030">
        <v>40</v>
      </c>
      <c r="AF125" s="1001"/>
      <c r="AG125" s="1001">
        <f t="shared" si="87"/>
        <v>6</v>
      </c>
      <c r="AH125" s="1024">
        <f t="shared" si="88"/>
        <v>6</v>
      </c>
      <c r="AI125" s="1025">
        <f t="shared" si="89"/>
        <v>5</v>
      </c>
      <c r="AJ125" s="1025">
        <f t="shared" si="90"/>
        <v>1</v>
      </c>
      <c r="AK125" s="1025">
        <f t="shared" si="91"/>
        <v>0</v>
      </c>
      <c r="AL125" s="1026">
        <f t="shared" si="92"/>
        <v>3</v>
      </c>
      <c r="AM125" s="1027">
        <f t="shared" si="81"/>
        <v>0.16666666666666666</v>
      </c>
      <c r="AN125" s="1028">
        <f t="shared" si="82"/>
        <v>0.66666666666666663</v>
      </c>
      <c r="AO125" s="1028">
        <f t="shared" si="83"/>
        <v>0.16666666666666666</v>
      </c>
      <c r="AP125" s="1028">
        <f t="shared" si="84"/>
        <v>0</v>
      </c>
      <c r="AQ125" s="1008">
        <f t="shared" si="85"/>
        <v>0.5</v>
      </c>
      <c r="AR125" s="1129"/>
      <c r="AS125" s="1129"/>
      <c r="AT125" s="1129"/>
      <c r="AU125" s="1119"/>
      <c r="AV125" s="1119"/>
      <c r="AW125" s="1119"/>
      <c r="AX125" s="1119"/>
      <c r="AY125" s="1119"/>
    </row>
    <row r="126" spans="1:51" ht="15">
      <c r="A126" s="1108"/>
      <c r="B126" s="961">
        <v>34</v>
      </c>
      <c r="C126" s="927"/>
      <c r="D126" s="928" t="s">
        <v>1321</v>
      </c>
      <c r="E126" s="928">
        <v>72</v>
      </c>
      <c r="F126" s="929">
        <v>4</v>
      </c>
      <c r="G126" s="930">
        <v>36</v>
      </c>
      <c r="H126" s="942">
        <v>58.022199999999998</v>
      </c>
      <c r="I126" s="943">
        <v>2.236812</v>
      </c>
      <c r="J126" s="943">
        <v>127.56585</v>
      </c>
      <c r="K126" s="943">
        <v>1.8146640000000001</v>
      </c>
      <c r="L126" s="944">
        <v>0</v>
      </c>
      <c r="M126" s="934">
        <v>16.335040767152996</v>
      </c>
      <c r="N126" s="934">
        <v>0.89967812827865234</v>
      </c>
      <c r="O126" s="934">
        <v>6.7652811045683503</v>
      </c>
      <c r="P126" s="934">
        <v>0</v>
      </c>
      <c r="Q126" s="934">
        <v>0.47596663419067659</v>
      </c>
      <c r="R126" s="935">
        <f t="shared" si="48"/>
        <v>16.687776875166048</v>
      </c>
      <c r="S126" s="898">
        <f t="shared" si="49"/>
        <v>47.51299702</v>
      </c>
      <c r="T126" s="898">
        <f t="shared" si="50"/>
        <v>20.37299702</v>
      </c>
      <c r="U126" s="898">
        <f t="shared" si="51"/>
        <v>8.0455802399999996</v>
      </c>
      <c r="V126" s="898">
        <f t="shared" si="52"/>
        <v>0</v>
      </c>
      <c r="W126" s="945">
        <f t="shared" si="53"/>
        <v>14.288284599999999</v>
      </c>
      <c r="X126" s="656">
        <f t="shared" si="86"/>
        <v>1</v>
      </c>
      <c r="Y126" s="656">
        <f t="shared" si="86"/>
        <v>1</v>
      </c>
      <c r="Z126" s="656">
        <f t="shared" si="86"/>
        <v>0</v>
      </c>
      <c r="AA126" s="656">
        <f t="shared" si="86"/>
        <v>0</v>
      </c>
      <c r="AB126" s="946">
        <f t="shared" si="86"/>
        <v>0</v>
      </c>
      <c r="AC126" s="1108"/>
      <c r="AD126" s="1029" t="s">
        <v>127</v>
      </c>
      <c r="AE126" s="1030">
        <v>41</v>
      </c>
      <c r="AF126" s="1001"/>
      <c r="AG126" s="1001">
        <f t="shared" si="87"/>
        <v>0</v>
      </c>
      <c r="AH126" s="1024">
        <f t="shared" si="88"/>
        <v>0</v>
      </c>
      <c r="AI126" s="1025">
        <f t="shared" si="89"/>
        <v>0</v>
      </c>
      <c r="AJ126" s="1025">
        <f t="shared" si="90"/>
        <v>0</v>
      </c>
      <c r="AK126" s="1025">
        <f t="shared" si="91"/>
        <v>0</v>
      </c>
      <c r="AL126" s="1026">
        <f t="shared" si="92"/>
        <v>0</v>
      </c>
      <c r="AM126" s="1027" t="str">
        <f t="shared" si="81"/>
        <v>-</v>
      </c>
      <c r="AN126" s="1028" t="str">
        <f t="shared" si="82"/>
        <v>-</v>
      </c>
      <c r="AO126" s="1028" t="str">
        <f t="shared" si="83"/>
        <v>-</v>
      </c>
      <c r="AP126" s="1028" t="str">
        <f t="shared" si="84"/>
        <v>-</v>
      </c>
      <c r="AQ126" s="1008" t="str">
        <f t="shared" si="85"/>
        <v>-</v>
      </c>
      <c r="AR126" s="1129"/>
      <c r="AS126" s="1129"/>
      <c r="AT126" s="1129"/>
      <c r="AU126" s="1119"/>
      <c r="AV126" s="1119"/>
      <c r="AW126" s="1119"/>
      <c r="AX126" s="1119"/>
      <c r="AY126" s="1119"/>
    </row>
    <row r="127" spans="1:51" ht="15">
      <c r="A127" s="1108"/>
      <c r="B127" s="961">
        <v>39</v>
      </c>
      <c r="C127" s="927"/>
      <c r="D127" s="928" t="s">
        <v>1321</v>
      </c>
      <c r="E127" s="928">
        <v>72</v>
      </c>
      <c r="F127" s="929">
        <v>4</v>
      </c>
      <c r="G127" s="930">
        <v>18</v>
      </c>
      <c r="H127" s="942">
        <v>28.2394</v>
      </c>
      <c r="I127" s="943">
        <v>3.5986410000000002</v>
      </c>
      <c r="J127" s="943">
        <v>125.382847</v>
      </c>
      <c r="K127" s="943">
        <v>1.5653160000000002</v>
      </c>
      <c r="L127" s="944">
        <v>0</v>
      </c>
      <c r="M127" s="934">
        <v>16.335040767152996</v>
      </c>
      <c r="N127" s="934">
        <v>0.89967812827865234</v>
      </c>
      <c r="O127" s="934">
        <v>6.7652811045683503</v>
      </c>
      <c r="P127" s="934">
        <v>0</v>
      </c>
      <c r="Q127" s="934">
        <v>0.47596663419067659</v>
      </c>
      <c r="R127" s="935">
        <f t="shared" si="48"/>
        <v>23.842265172910277</v>
      </c>
      <c r="S127" s="898">
        <f t="shared" si="49"/>
        <v>40.540843539999997</v>
      </c>
      <c r="T127" s="898">
        <f t="shared" si="50"/>
        <v>13.40084354</v>
      </c>
      <c r="U127" s="898">
        <f t="shared" si="51"/>
        <v>5.3889544800000007</v>
      </c>
      <c r="V127" s="898">
        <f t="shared" si="52"/>
        <v>0</v>
      </c>
      <c r="W127" s="945">
        <f t="shared" si="53"/>
        <v>8.5402041999999998</v>
      </c>
      <c r="X127" s="656">
        <f t="shared" si="86"/>
        <v>1</v>
      </c>
      <c r="Y127" s="656">
        <f t="shared" si="86"/>
        <v>0</v>
      </c>
      <c r="Z127" s="656">
        <f t="shared" si="86"/>
        <v>0</v>
      </c>
      <c r="AA127" s="656">
        <f t="shared" si="86"/>
        <v>0</v>
      </c>
      <c r="AB127" s="946">
        <f t="shared" si="86"/>
        <v>0</v>
      </c>
      <c r="AC127" s="1108"/>
      <c r="AD127" s="1029" t="s">
        <v>128</v>
      </c>
      <c r="AE127" s="1030">
        <v>42</v>
      </c>
      <c r="AF127" s="1001"/>
      <c r="AG127" s="1001">
        <f t="shared" si="87"/>
        <v>0</v>
      </c>
      <c r="AH127" s="1024">
        <f t="shared" si="88"/>
        <v>0</v>
      </c>
      <c r="AI127" s="1025">
        <f t="shared" si="89"/>
        <v>0</v>
      </c>
      <c r="AJ127" s="1025">
        <f t="shared" si="90"/>
        <v>0</v>
      </c>
      <c r="AK127" s="1025">
        <f t="shared" si="91"/>
        <v>0</v>
      </c>
      <c r="AL127" s="1026">
        <f t="shared" si="92"/>
        <v>0</v>
      </c>
      <c r="AM127" s="1027" t="str">
        <f t="shared" si="81"/>
        <v>-</v>
      </c>
      <c r="AN127" s="1028" t="str">
        <f t="shared" si="82"/>
        <v>-</v>
      </c>
      <c r="AO127" s="1028" t="str">
        <f t="shared" si="83"/>
        <v>-</v>
      </c>
      <c r="AP127" s="1028" t="str">
        <f t="shared" si="84"/>
        <v>-</v>
      </c>
      <c r="AQ127" s="1008" t="str">
        <f t="shared" si="85"/>
        <v>-</v>
      </c>
      <c r="AR127" s="1129"/>
      <c r="AS127" s="1129"/>
      <c r="AT127" s="1129"/>
      <c r="AU127" s="1119"/>
      <c r="AV127" s="1119"/>
      <c r="AW127" s="1119"/>
      <c r="AX127" s="1119"/>
      <c r="AY127" s="1119"/>
    </row>
    <row r="128" spans="1:51" ht="15">
      <c r="A128" s="1108"/>
      <c r="B128" s="965" t="s">
        <v>1342</v>
      </c>
      <c r="C128" s="966"/>
      <c r="D128" s="928" t="s">
        <v>1321</v>
      </c>
      <c r="E128" s="928">
        <v>71</v>
      </c>
      <c r="F128" s="968">
        <v>4</v>
      </c>
      <c r="G128" s="965">
        <v>12</v>
      </c>
      <c r="H128" s="958">
        <v>15.205024541666694</v>
      </c>
      <c r="I128" s="959">
        <v>0.47900000000000276</v>
      </c>
      <c r="J128" s="959">
        <v>29.292583333333397</v>
      </c>
      <c r="K128" s="959">
        <v>0.48000000000000004</v>
      </c>
      <c r="L128" s="944">
        <v>0</v>
      </c>
      <c r="M128" s="934">
        <v>16.335040767152996</v>
      </c>
      <c r="N128" s="934">
        <v>0.89967812827865234</v>
      </c>
      <c r="O128" s="934">
        <v>6.7652811045683503</v>
      </c>
      <c r="P128" s="934">
        <v>0</v>
      </c>
      <c r="Q128" s="934">
        <v>0.47596663419067659</v>
      </c>
      <c r="R128" s="935">
        <f t="shared" si="48"/>
        <v>3.4637863237121711</v>
      </c>
      <c r="S128" s="898">
        <f t="shared" si="49"/>
        <v>37.489496245204172</v>
      </c>
      <c r="T128" s="898">
        <f t="shared" si="50"/>
        <v>10.349496245204174</v>
      </c>
      <c r="U128" s="898">
        <f t="shared" si="51"/>
        <v>4.2262881891166693</v>
      </c>
      <c r="V128" s="898">
        <f t="shared" si="52"/>
        <v>0</v>
      </c>
      <c r="W128" s="945">
        <f t="shared" si="53"/>
        <v>6.0245697365416717</v>
      </c>
      <c r="X128" s="656">
        <f t="shared" si="86"/>
        <v>1</v>
      </c>
      <c r="Y128" s="656">
        <f t="shared" si="86"/>
        <v>1</v>
      </c>
      <c r="Z128" s="656">
        <f t="shared" si="86"/>
        <v>1</v>
      </c>
      <c r="AA128" s="656">
        <f t="shared" si="86"/>
        <v>0</v>
      </c>
      <c r="AB128" s="946">
        <f t="shared" si="86"/>
        <v>1</v>
      </c>
      <c r="AC128" s="1108"/>
      <c r="AD128" s="1029" t="s">
        <v>227</v>
      </c>
      <c r="AE128" s="1030">
        <v>43</v>
      </c>
      <c r="AF128" s="1001"/>
      <c r="AG128" s="1001">
        <f t="shared" si="87"/>
        <v>0</v>
      </c>
      <c r="AH128" s="1024">
        <f t="shared" si="88"/>
        <v>0</v>
      </c>
      <c r="AI128" s="1025">
        <f t="shared" si="89"/>
        <v>0</v>
      </c>
      <c r="AJ128" s="1025">
        <f t="shared" si="90"/>
        <v>0</v>
      </c>
      <c r="AK128" s="1025">
        <f t="shared" si="91"/>
        <v>0</v>
      </c>
      <c r="AL128" s="1026">
        <f t="shared" si="92"/>
        <v>0</v>
      </c>
      <c r="AM128" s="1027" t="str">
        <f t="shared" si="81"/>
        <v>-</v>
      </c>
      <c r="AN128" s="1028" t="str">
        <f t="shared" si="82"/>
        <v>-</v>
      </c>
      <c r="AO128" s="1028" t="str">
        <f t="shared" si="83"/>
        <v>-</v>
      </c>
      <c r="AP128" s="1028" t="str">
        <f t="shared" si="84"/>
        <v>-</v>
      </c>
      <c r="AQ128" s="1008" t="str">
        <f t="shared" si="85"/>
        <v>-</v>
      </c>
      <c r="AR128" s="1129"/>
      <c r="AS128" s="1129"/>
      <c r="AT128" s="1129"/>
      <c r="AU128" s="1119"/>
      <c r="AV128" s="1119"/>
      <c r="AW128" s="1119"/>
      <c r="AX128" s="1119"/>
      <c r="AY128" s="1119"/>
    </row>
    <row r="129" spans="1:51" ht="15">
      <c r="A129" s="1108"/>
      <c r="B129" s="965" t="s">
        <v>1343</v>
      </c>
      <c r="C129" s="966"/>
      <c r="D129" s="928" t="s">
        <v>1321</v>
      </c>
      <c r="E129" s="928">
        <v>71</v>
      </c>
      <c r="F129" s="968">
        <v>4</v>
      </c>
      <c r="G129" s="965">
        <v>12</v>
      </c>
      <c r="H129" s="958">
        <v>16.330682700000587</v>
      </c>
      <c r="I129" s="959">
        <v>5.9193333333333333</v>
      </c>
      <c r="J129" s="959">
        <v>167.49239999999998</v>
      </c>
      <c r="K129" s="959">
        <v>2.1805888324873099</v>
      </c>
      <c r="L129" s="944">
        <v>0</v>
      </c>
      <c r="M129" s="934">
        <v>16.335040767152996</v>
      </c>
      <c r="N129" s="934">
        <v>0.89967812827865234</v>
      </c>
      <c r="O129" s="934">
        <v>6.7652811045683503</v>
      </c>
      <c r="P129" s="934">
        <v>0</v>
      </c>
      <c r="Q129" s="934">
        <v>0.47596663419067659</v>
      </c>
      <c r="R129" s="935">
        <f t="shared" si="48"/>
        <v>37.589375085675812</v>
      </c>
      <c r="S129" s="898">
        <f t="shared" si="49"/>
        <v>37.75301282007014</v>
      </c>
      <c r="T129" s="898">
        <f t="shared" si="50"/>
        <v>10.613012820070137</v>
      </c>
      <c r="U129" s="898">
        <f t="shared" si="51"/>
        <v>4.326696896840053</v>
      </c>
      <c r="V129" s="898">
        <f t="shared" si="52"/>
        <v>0</v>
      </c>
      <c r="W129" s="945">
        <f t="shared" si="53"/>
        <v>6.2418217611001126</v>
      </c>
      <c r="X129" s="656">
        <f t="shared" si="86"/>
        <v>1</v>
      </c>
      <c r="Y129" s="656">
        <f t="shared" si="86"/>
        <v>0</v>
      </c>
      <c r="Z129" s="656">
        <f t="shared" si="86"/>
        <v>0</v>
      </c>
      <c r="AA129" s="656">
        <f t="shared" si="86"/>
        <v>0</v>
      </c>
      <c r="AB129" s="946">
        <f t="shared" si="86"/>
        <v>0</v>
      </c>
      <c r="AC129" s="1108"/>
      <c r="AD129" s="1029" t="s">
        <v>228</v>
      </c>
      <c r="AE129" s="1030">
        <v>46</v>
      </c>
      <c r="AF129" s="1001"/>
      <c r="AG129" s="1001">
        <f t="shared" si="87"/>
        <v>0</v>
      </c>
      <c r="AH129" s="1024">
        <f t="shared" si="88"/>
        <v>0</v>
      </c>
      <c r="AI129" s="1025">
        <f t="shared" si="89"/>
        <v>0</v>
      </c>
      <c r="AJ129" s="1025">
        <f t="shared" si="90"/>
        <v>0</v>
      </c>
      <c r="AK129" s="1025">
        <f t="shared" si="91"/>
        <v>0</v>
      </c>
      <c r="AL129" s="1026">
        <f t="shared" si="92"/>
        <v>0</v>
      </c>
      <c r="AM129" s="1027" t="str">
        <f t="shared" si="81"/>
        <v>-</v>
      </c>
      <c r="AN129" s="1028" t="str">
        <f t="shared" si="82"/>
        <v>-</v>
      </c>
      <c r="AO129" s="1028" t="str">
        <f t="shared" si="83"/>
        <v>-</v>
      </c>
      <c r="AP129" s="1028" t="str">
        <f t="shared" si="84"/>
        <v>-</v>
      </c>
      <c r="AQ129" s="1008" t="str">
        <f t="shared" si="85"/>
        <v>-</v>
      </c>
      <c r="AR129" s="1129"/>
      <c r="AS129" s="1129"/>
      <c r="AT129" s="1129"/>
      <c r="AU129" s="1119"/>
      <c r="AV129" s="1119"/>
      <c r="AW129" s="1119"/>
      <c r="AX129" s="1119"/>
      <c r="AY129" s="1119"/>
    </row>
    <row r="130" spans="1:51" ht="15">
      <c r="A130" s="1108"/>
      <c r="B130" s="965" t="s">
        <v>1344</v>
      </c>
      <c r="C130" s="966"/>
      <c r="D130" s="928" t="s">
        <v>1321</v>
      </c>
      <c r="E130" s="928">
        <v>71</v>
      </c>
      <c r="F130" s="968">
        <v>4</v>
      </c>
      <c r="G130" s="965">
        <v>12</v>
      </c>
      <c r="H130" s="958">
        <v>13.35886471944451</v>
      </c>
      <c r="I130" s="959">
        <v>1.4299999999999997</v>
      </c>
      <c r="J130" s="959">
        <v>52.5535</v>
      </c>
      <c r="K130" s="959">
        <v>1.44</v>
      </c>
      <c r="L130" s="944">
        <v>0</v>
      </c>
      <c r="M130" s="934">
        <v>16.335040767152996</v>
      </c>
      <c r="N130" s="934">
        <v>0.89967812827865234</v>
      </c>
      <c r="O130" s="934">
        <v>6.7652811045683503</v>
      </c>
      <c r="P130" s="934">
        <v>0</v>
      </c>
      <c r="Q130" s="934">
        <v>0.47596663419067659</v>
      </c>
      <c r="R130" s="935">
        <f t="shared" si="48"/>
        <v>9.8458051204372534</v>
      </c>
      <c r="S130" s="898">
        <f t="shared" si="49"/>
        <v>37.057310230821962</v>
      </c>
      <c r="T130" s="898">
        <f t="shared" si="50"/>
        <v>9.9173102308219594</v>
      </c>
      <c r="U130" s="898">
        <f t="shared" si="51"/>
        <v>4.0616107329744509</v>
      </c>
      <c r="V130" s="898">
        <f t="shared" si="52"/>
        <v>0</v>
      </c>
      <c r="W130" s="945">
        <f t="shared" si="53"/>
        <v>5.6682608908527907</v>
      </c>
      <c r="X130" s="656">
        <f t="shared" si="86"/>
        <v>1</v>
      </c>
      <c r="Y130" s="656">
        <f t="shared" si="86"/>
        <v>1</v>
      </c>
      <c r="Z130" s="656">
        <f t="shared" si="86"/>
        <v>0</v>
      </c>
      <c r="AA130" s="656">
        <f t="shared" si="86"/>
        <v>0</v>
      </c>
      <c r="AB130" s="946">
        <f t="shared" si="86"/>
        <v>0</v>
      </c>
      <c r="AC130" s="1108"/>
      <c r="AD130" s="1029" t="s">
        <v>229</v>
      </c>
      <c r="AE130" s="1030">
        <v>47</v>
      </c>
      <c r="AF130" s="1001"/>
      <c r="AG130" s="1001">
        <f t="shared" si="87"/>
        <v>1</v>
      </c>
      <c r="AH130" s="1024">
        <f t="shared" si="88"/>
        <v>1</v>
      </c>
      <c r="AI130" s="1025">
        <f t="shared" si="89"/>
        <v>1</v>
      </c>
      <c r="AJ130" s="1025">
        <f t="shared" si="90"/>
        <v>1</v>
      </c>
      <c r="AK130" s="1025">
        <f t="shared" si="91"/>
        <v>0</v>
      </c>
      <c r="AL130" s="1026">
        <f t="shared" si="92"/>
        <v>1</v>
      </c>
      <c r="AM130" s="1027">
        <f t="shared" si="81"/>
        <v>0</v>
      </c>
      <c r="AN130" s="1028">
        <f t="shared" si="82"/>
        <v>0</v>
      </c>
      <c r="AO130" s="1028">
        <f t="shared" si="83"/>
        <v>1</v>
      </c>
      <c r="AP130" s="1028">
        <f t="shared" si="84"/>
        <v>0</v>
      </c>
      <c r="AQ130" s="1008">
        <f t="shared" si="85"/>
        <v>1</v>
      </c>
      <c r="AR130" s="1129"/>
      <c r="AS130" s="1129"/>
      <c r="AT130" s="1129"/>
      <c r="AU130" s="1119"/>
      <c r="AV130" s="1119"/>
      <c r="AW130" s="1119"/>
      <c r="AX130" s="1119"/>
      <c r="AY130" s="1119"/>
    </row>
    <row r="131" spans="1:51" ht="15">
      <c r="A131" s="1108"/>
      <c r="B131" s="957" t="s">
        <v>1345</v>
      </c>
      <c r="C131" s="927"/>
      <c r="D131" s="928" t="s">
        <v>1321</v>
      </c>
      <c r="E131" s="928">
        <v>71</v>
      </c>
      <c r="F131" s="929">
        <v>4</v>
      </c>
      <c r="G131" s="930">
        <v>14.4</v>
      </c>
      <c r="H131" s="958">
        <v>35.380121836111073</v>
      </c>
      <c r="I131" s="959">
        <v>2.2540000000000049</v>
      </c>
      <c r="J131" s="959">
        <v>106.82756666666677</v>
      </c>
      <c r="K131" s="959">
        <v>0.63230769230769224</v>
      </c>
      <c r="L131" s="944">
        <v>0</v>
      </c>
      <c r="M131" s="934">
        <v>16.335040767152996</v>
      </c>
      <c r="N131" s="934">
        <v>0.89967812827865234</v>
      </c>
      <c r="O131" s="934">
        <v>6.7652811045683503</v>
      </c>
      <c r="P131" s="934">
        <v>0</v>
      </c>
      <c r="Q131" s="934">
        <v>0.47596663419067659</v>
      </c>
      <c r="R131" s="935">
        <f t="shared" si="48"/>
        <v>16.661068890886032</v>
      </c>
      <c r="S131" s="898">
        <f t="shared" si="49"/>
        <v>42.212486521833604</v>
      </c>
      <c r="T131" s="898">
        <f t="shared" si="50"/>
        <v>15.072486521833603</v>
      </c>
      <c r="U131" s="898">
        <f t="shared" si="51"/>
        <v>6.0259068677811083</v>
      </c>
      <c r="V131" s="898">
        <f t="shared" si="52"/>
        <v>0</v>
      </c>
      <c r="W131" s="945">
        <f t="shared" si="53"/>
        <v>9.9183635143694371</v>
      </c>
      <c r="X131" s="656">
        <f t="shared" si="86"/>
        <v>1</v>
      </c>
      <c r="Y131" s="656">
        <f t="shared" si="86"/>
        <v>0</v>
      </c>
      <c r="Z131" s="656">
        <f t="shared" si="86"/>
        <v>0</v>
      </c>
      <c r="AA131" s="656">
        <f t="shared" si="86"/>
        <v>0</v>
      </c>
      <c r="AB131" s="946">
        <f t="shared" si="86"/>
        <v>0</v>
      </c>
      <c r="AC131" s="1108"/>
      <c r="AD131" s="1029" t="s">
        <v>230</v>
      </c>
      <c r="AE131" s="1030">
        <v>48</v>
      </c>
      <c r="AF131" s="1001"/>
      <c r="AG131" s="1001">
        <f t="shared" si="87"/>
        <v>0</v>
      </c>
      <c r="AH131" s="1024">
        <f t="shared" si="88"/>
        <v>0</v>
      </c>
      <c r="AI131" s="1025">
        <f t="shared" si="89"/>
        <v>0</v>
      </c>
      <c r="AJ131" s="1025">
        <f t="shared" si="90"/>
        <v>0</v>
      </c>
      <c r="AK131" s="1025">
        <f t="shared" si="91"/>
        <v>0</v>
      </c>
      <c r="AL131" s="1026">
        <f t="shared" si="92"/>
        <v>0</v>
      </c>
      <c r="AM131" s="1027" t="str">
        <f t="shared" si="81"/>
        <v>-</v>
      </c>
      <c r="AN131" s="1028" t="str">
        <f t="shared" si="82"/>
        <v>-</v>
      </c>
      <c r="AO131" s="1028" t="str">
        <f t="shared" si="83"/>
        <v>-</v>
      </c>
      <c r="AP131" s="1028" t="str">
        <f t="shared" si="84"/>
        <v>-</v>
      </c>
      <c r="AQ131" s="1008" t="str">
        <f t="shared" si="85"/>
        <v>-</v>
      </c>
      <c r="AR131" s="1129"/>
      <c r="AS131" s="1129"/>
      <c r="AT131" s="1129"/>
      <c r="AU131" s="1119"/>
      <c r="AV131" s="1119"/>
      <c r="AW131" s="1119"/>
      <c r="AX131" s="1119"/>
      <c r="AY131" s="1119"/>
    </row>
    <row r="132" spans="1:51" ht="15">
      <c r="A132" s="1108"/>
      <c r="B132" s="957" t="s">
        <v>1346</v>
      </c>
      <c r="C132" s="927"/>
      <c r="D132" s="928" t="s">
        <v>1321</v>
      </c>
      <c r="E132" s="928">
        <v>71</v>
      </c>
      <c r="F132" s="929">
        <v>4</v>
      </c>
      <c r="G132" s="930">
        <v>10.8</v>
      </c>
      <c r="H132" s="958">
        <v>11.434667361111147</v>
      </c>
      <c r="I132" s="959">
        <v>1.5800081249999982</v>
      </c>
      <c r="J132" s="959">
        <v>48.66</v>
      </c>
      <c r="K132" s="959">
        <v>1.5777480000000002</v>
      </c>
      <c r="L132" s="944">
        <v>0</v>
      </c>
      <c r="M132" s="934">
        <v>16.335040767152996</v>
      </c>
      <c r="N132" s="934">
        <v>0.89967812827865234</v>
      </c>
      <c r="O132" s="934">
        <v>6.7652811045683503</v>
      </c>
      <c r="P132" s="934">
        <v>0</v>
      </c>
      <c r="Q132" s="934">
        <v>0.47596663419067659</v>
      </c>
      <c r="R132" s="935">
        <f t="shared" si="48"/>
        <v>9.8178543889488115</v>
      </c>
      <c r="S132" s="898">
        <f t="shared" si="49"/>
        <v>36.606855629236122</v>
      </c>
      <c r="T132" s="898">
        <f t="shared" si="50"/>
        <v>9.4668556292361199</v>
      </c>
      <c r="U132" s="898">
        <f t="shared" si="51"/>
        <v>3.8899723286111145</v>
      </c>
      <c r="V132" s="898">
        <f t="shared" si="52"/>
        <v>0</v>
      </c>
      <c r="W132" s="945">
        <f t="shared" si="53"/>
        <v>5.2968908006944515</v>
      </c>
      <c r="X132" s="656">
        <f t="shared" si="86"/>
        <v>1</v>
      </c>
      <c r="Y132" s="656">
        <f t="shared" si="86"/>
        <v>0</v>
      </c>
      <c r="Z132" s="656">
        <f t="shared" si="86"/>
        <v>0</v>
      </c>
      <c r="AA132" s="656">
        <f t="shared" si="86"/>
        <v>0</v>
      </c>
      <c r="AB132" s="946">
        <f t="shared" si="86"/>
        <v>0</v>
      </c>
      <c r="AC132" s="1108"/>
      <c r="AD132" s="1029" t="s">
        <v>123</v>
      </c>
      <c r="AE132" s="1030">
        <v>49</v>
      </c>
      <c r="AF132" s="1001"/>
      <c r="AG132" s="1001">
        <f t="shared" si="87"/>
        <v>2</v>
      </c>
      <c r="AH132" s="1024">
        <f t="shared" si="88"/>
        <v>2</v>
      </c>
      <c r="AI132" s="1025">
        <f t="shared" si="89"/>
        <v>2</v>
      </c>
      <c r="AJ132" s="1025">
        <f t="shared" si="90"/>
        <v>2</v>
      </c>
      <c r="AK132" s="1025">
        <f t="shared" si="91"/>
        <v>0</v>
      </c>
      <c r="AL132" s="1026">
        <f t="shared" si="92"/>
        <v>2</v>
      </c>
      <c r="AM132" s="1027">
        <f t="shared" ref="AM132:AM161" si="93">IF(AG132=0,"-",(AH132-AI132)/AG132)</f>
        <v>0</v>
      </c>
      <c r="AN132" s="1028">
        <f t="shared" ref="AN132:AN161" si="94">IF(AG132=0,"-",((AI132-AJ132)/AG132))</f>
        <v>0</v>
      </c>
      <c r="AO132" s="1028">
        <f t="shared" ref="AO132:AO161" si="95">IF(AG132=0,"-",((AJ132-AK132)/AG132))</f>
        <v>1</v>
      </c>
      <c r="AP132" s="1028">
        <f t="shared" ref="AP132:AP161" si="96">IF(AG132=0,"-",AK132/AG132)</f>
        <v>0</v>
      </c>
      <c r="AQ132" s="1008">
        <f t="shared" ref="AQ132:AQ161" si="97">IF(AG132=0,"-",AL132/AG132)</f>
        <v>1</v>
      </c>
      <c r="AR132" s="1129"/>
      <c r="AS132" s="1129"/>
      <c r="AT132" s="1129"/>
      <c r="AU132" s="1119"/>
      <c r="AV132" s="1119"/>
      <c r="AW132" s="1119"/>
      <c r="AX132" s="1119"/>
      <c r="AY132" s="1119"/>
    </row>
    <row r="133" spans="1:51" ht="15">
      <c r="A133" s="1108"/>
      <c r="B133" s="957" t="s">
        <v>1347</v>
      </c>
      <c r="C133" s="927"/>
      <c r="D133" s="928" t="s">
        <v>1321</v>
      </c>
      <c r="E133" s="928">
        <v>71</v>
      </c>
      <c r="F133" s="929">
        <v>4</v>
      </c>
      <c r="G133" s="930" t="s">
        <v>1338</v>
      </c>
      <c r="H133" s="958">
        <v>36.846534442622946</v>
      </c>
      <c r="I133" s="959">
        <v>0.7719695243055571</v>
      </c>
      <c r="J133" s="959">
        <v>64.375406453611589</v>
      </c>
      <c r="K133" s="959">
        <v>0.58266660000000003</v>
      </c>
      <c r="L133" s="944">
        <v>0</v>
      </c>
      <c r="M133" s="934">
        <v>16.335040767152996</v>
      </c>
      <c r="N133" s="934">
        <v>0.89967812827865234</v>
      </c>
      <c r="O133" s="934">
        <v>6.7652811045683503</v>
      </c>
      <c r="P133" s="934">
        <v>0</v>
      </c>
      <c r="Q133" s="934">
        <v>0.47596663419067659</v>
      </c>
      <c r="R133" s="935">
        <f t="shared" si="48"/>
        <v>6.3578725603295787</v>
      </c>
      <c r="S133" s="898">
        <f t="shared" si="49"/>
        <v>42.555773713018027</v>
      </c>
      <c r="T133" s="898">
        <f t="shared" si="50"/>
        <v>15.41577371301803</v>
      </c>
      <c r="U133" s="898">
        <f t="shared" si="51"/>
        <v>6.156710872281967</v>
      </c>
      <c r="V133" s="898">
        <f t="shared" si="52"/>
        <v>0</v>
      </c>
      <c r="W133" s="945">
        <f t="shared" si="53"/>
        <v>10.201381147426229</v>
      </c>
      <c r="X133" s="656">
        <f t="shared" si="86"/>
        <v>1</v>
      </c>
      <c r="Y133" s="656">
        <f t="shared" si="86"/>
        <v>1</v>
      </c>
      <c r="Z133" s="656">
        <f t="shared" si="86"/>
        <v>0</v>
      </c>
      <c r="AA133" s="656">
        <f t="shared" si="86"/>
        <v>0</v>
      </c>
      <c r="AB133" s="946">
        <f t="shared" si="86"/>
        <v>1</v>
      </c>
      <c r="AC133" s="1108"/>
      <c r="AD133" s="1029" t="s">
        <v>124</v>
      </c>
      <c r="AE133" s="1030">
        <v>50</v>
      </c>
      <c r="AF133" s="1001"/>
      <c r="AG133" s="1001">
        <f t="shared" si="87"/>
        <v>5</v>
      </c>
      <c r="AH133" s="1024">
        <f t="shared" si="88"/>
        <v>4</v>
      </c>
      <c r="AI133" s="1025">
        <f t="shared" si="89"/>
        <v>4</v>
      </c>
      <c r="AJ133" s="1025">
        <f t="shared" si="90"/>
        <v>3</v>
      </c>
      <c r="AK133" s="1025">
        <f t="shared" si="91"/>
        <v>2</v>
      </c>
      <c r="AL133" s="1026">
        <f t="shared" si="92"/>
        <v>4</v>
      </c>
      <c r="AM133" s="1027">
        <f t="shared" si="93"/>
        <v>0</v>
      </c>
      <c r="AN133" s="1028">
        <f t="shared" si="94"/>
        <v>0.2</v>
      </c>
      <c r="AO133" s="1028">
        <f t="shared" si="95"/>
        <v>0.2</v>
      </c>
      <c r="AP133" s="1028">
        <f t="shared" si="96"/>
        <v>0.4</v>
      </c>
      <c r="AQ133" s="1008">
        <f t="shared" si="97"/>
        <v>0.8</v>
      </c>
      <c r="AR133" s="1129"/>
      <c r="AS133" s="1129"/>
      <c r="AT133" s="1129"/>
      <c r="AU133" s="1119"/>
      <c r="AV133" s="1119"/>
      <c r="AW133" s="1119"/>
      <c r="AX133" s="1119"/>
      <c r="AY133" s="1119"/>
    </row>
    <row r="134" spans="1:51" ht="15">
      <c r="A134" s="1108"/>
      <c r="B134" s="926">
        <v>1023</v>
      </c>
      <c r="C134" s="897"/>
      <c r="D134" s="928" t="s">
        <v>1321</v>
      </c>
      <c r="E134" s="928">
        <v>72</v>
      </c>
      <c r="F134" s="968">
        <v>4</v>
      </c>
      <c r="G134" s="965">
        <v>18</v>
      </c>
      <c r="H134" s="942">
        <v>41.70395918225605</v>
      </c>
      <c r="I134" s="943">
        <v>2.7974999999999994</v>
      </c>
      <c r="J134" s="943">
        <v>127.55</v>
      </c>
      <c r="K134" s="943">
        <v>2.1433333333333331</v>
      </c>
      <c r="L134" s="944">
        <v>0</v>
      </c>
      <c r="M134" s="934">
        <v>16.335040767152996</v>
      </c>
      <c r="N134" s="934">
        <v>0.89967812827865234</v>
      </c>
      <c r="O134" s="934">
        <v>6.7652811045683503</v>
      </c>
      <c r="P134" s="934">
        <v>0</v>
      </c>
      <c r="Q134" s="934">
        <v>0.47596663419067659</v>
      </c>
      <c r="R134" s="935">
        <f t="shared" ref="R134:R197" si="98">365/1000*((($J134-$H134)*Q134)+($I134*(M134-(24*Q134)))+($K134*N134)+($L134*P134))</f>
        <v>20.633098853493269</v>
      </c>
      <c r="S134" s="898">
        <f t="shared" ref="S134:S197" si="99">IF(($H134&lt;(VLOOKUP($F134,Product_Class,9,FALSE))),(VLOOKUP($F134,Product_Class,10,FALSE)),((VLOOKUP($F134,Product_Class,7,FALSE)*$H134)+(VLOOKUP($F134,Product_Class,8,FALSE))))</f>
        <v>43.692896844566143</v>
      </c>
      <c r="T134" s="898">
        <f t="shared" ref="T134:T197" si="100">IF(($H134&lt;(VLOOKUP($F134,Product_Class,13,FALSE))),(VLOOKUP($F134,Product_Class,14,FALSE)),((VLOOKUP($F134,Product_Class,11,FALSE)*$H134)+(VLOOKUP($F134,Product_Class,12,FALSE))))</f>
        <v>16.552896844566142</v>
      </c>
      <c r="U134" s="898">
        <f t="shared" ref="U134:U197" si="101">IF(($H134&lt;(VLOOKUP($F134,Product_Class,17,FALSE))),(VLOOKUP($F134,Product_Class,18,FALSE)),((VLOOKUP($F134,Product_Class,15,FALSE)*$H134)+(VLOOKUP($F134,Product_Class,16,FALSE))))</f>
        <v>6.58999315905724</v>
      </c>
      <c r="V134" s="898">
        <f t="shared" ref="V134:V197" si="102">IF(($H134&lt;(VLOOKUP($F134,Product_Class,21,FALSE))),(VLOOKUP($F134,Product_Class,22,FALSE)),((VLOOKUP($F134,Product_Class,19,FALSE)*$H134)+(VLOOKUP($F134,Product_Class,20,FALSE))))</f>
        <v>0</v>
      </c>
      <c r="W134" s="945">
        <f t="shared" ref="W134:W197" si="103">IF(($H134&lt;(VLOOKUP($F134,Product_Class,25,FALSE))),(VLOOKUP($F134,Product_Class,26,FALSE)),((VLOOKUP($F134,Product_Class,23,FALSE)*$H134)+(VLOOKUP($F134,Product_Class,24,FALSE))))</f>
        <v>11.138864122175418</v>
      </c>
      <c r="X134" s="656">
        <f t="shared" si="86"/>
        <v>1</v>
      </c>
      <c r="Y134" s="656">
        <f t="shared" si="86"/>
        <v>0</v>
      </c>
      <c r="Z134" s="656">
        <f t="shared" si="86"/>
        <v>0</v>
      </c>
      <c r="AA134" s="656">
        <f t="shared" si="86"/>
        <v>0</v>
      </c>
      <c r="AB134" s="946">
        <f t="shared" si="86"/>
        <v>0</v>
      </c>
      <c r="AC134" s="1108"/>
      <c r="AD134" s="1029" t="s">
        <v>181</v>
      </c>
      <c r="AE134" s="1030">
        <v>52</v>
      </c>
      <c r="AF134" s="1001"/>
      <c r="AG134" s="1001">
        <f t="shared" si="87"/>
        <v>6</v>
      </c>
      <c r="AH134" s="1024">
        <f t="shared" si="88"/>
        <v>6</v>
      </c>
      <c r="AI134" s="1025">
        <f t="shared" si="89"/>
        <v>6</v>
      </c>
      <c r="AJ134" s="1025">
        <f t="shared" si="90"/>
        <v>0</v>
      </c>
      <c r="AK134" s="1025">
        <f t="shared" si="91"/>
        <v>0</v>
      </c>
      <c r="AL134" s="1026">
        <f t="shared" si="92"/>
        <v>2</v>
      </c>
      <c r="AM134" s="1027">
        <f t="shared" si="93"/>
        <v>0</v>
      </c>
      <c r="AN134" s="1028">
        <f t="shared" si="94"/>
        <v>1</v>
      </c>
      <c r="AO134" s="1028">
        <f t="shared" si="95"/>
        <v>0</v>
      </c>
      <c r="AP134" s="1028">
        <f t="shared" si="96"/>
        <v>0</v>
      </c>
      <c r="AQ134" s="1008">
        <f t="shared" si="97"/>
        <v>0.33333333333333331</v>
      </c>
      <c r="AR134" s="1129"/>
      <c r="AS134" s="1129"/>
      <c r="AT134" s="1129"/>
      <c r="AU134" s="1119"/>
      <c r="AV134" s="1119"/>
      <c r="AW134" s="1119"/>
      <c r="AX134" s="1119"/>
      <c r="AY134" s="1119"/>
    </row>
    <row r="135" spans="1:51" ht="15">
      <c r="A135" s="1108"/>
      <c r="B135" s="926">
        <v>1024</v>
      </c>
      <c r="C135" s="897"/>
      <c r="D135" s="928" t="s">
        <v>1321</v>
      </c>
      <c r="E135" s="928">
        <v>72</v>
      </c>
      <c r="F135" s="968">
        <v>4</v>
      </c>
      <c r="G135" s="965">
        <v>18</v>
      </c>
      <c r="H135" s="942">
        <v>46.041382792082182</v>
      </c>
      <c r="I135" s="943">
        <v>0.70865416666669134</v>
      </c>
      <c r="J135" s="943">
        <v>76.164000000000001</v>
      </c>
      <c r="K135" s="943">
        <v>0.60666666666666658</v>
      </c>
      <c r="L135" s="944">
        <v>0</v>
      </c>
      <c r="M135" s="934">
        <v>16.335040767152996</v>
      </c>
      <c r="N135" s="934">
        <v>0.89967812827865234</v>
      </c>
      <c r="O135" s="934">
        <v>6.7652811045683503</v>
      </c>
      <c r="P135" s="934">
        <v>0</v>
      </c>
      <c r="Q135" s="934">
        <v>0.47596663419067659</v>
      </c>
      <c r="R135" s="935">
        <f t="shared" si="98"/>
        <v>6.7028462886329061</v>
      </c>
      <c r="S135" s="898">
        <f t="shared" si="99"/>
        <v>44.70828771162644</v>
      </c>
      <c r="T135" s="898">
        <f t="shared" si="100"/>
        <v>17.568287711626439</v>
      </c>
      <c r="U135" s="898">
        <f t="shared" si="101"/>
        <v>6.9768913450537307</v>
      </c>
      <c r="V135" s="898">
        <f t="shared" si="102"/>
        <v>0</v>
      </c>
      <c r="W135" s="945">
        <f t="shared" si="103"/>
        <v>11.975986878871861</v>
      </c>
      <c r="X135" s="656">
        <f t="shared" si="86"/>
        <v>1</v>
      </c>
      <c r="Y135" s="656">
        <f t="shared" si="86"/>
        <v>1</v>
      </c>
      <c r="Z135" s="656">
        <f t="shared" si="86"/>
        <v>1</v>
      </c>
      <c r="AA135" s="656">
        <f t="shared" si="86"/>
        <v>0</v>
      </c>
      <c r="AB135" s="946">
        <f t="shared" si="86"/>
        <v>1</v>
      </c>
      <c r="AC135" s="1108"/>
      <c r="AD135" s="1029" t="s">
        <v>129</v>
      </c>
      <c r="AE135" s="1030">
        <v>54</v>
      </c>
      <c r="AF135" s="1001"/>
      <c r="AG135" s="1001">
        <f t="shared" si="87"/>
        <v>0</v>
      </c>
      <c r="AH135" s="1024">
        <f t="shared" si="88"/>
        <v>0</v>
      </c>
      <c r="AI135" s="1025">
        <f t="shared" si="89"/>
        <v>0</v>
      </c>
      <c r="AJ135" s="1025">
        <f t="shared" si="90"/>
        <v>0</v>
      </c>
      <c r="AK135" s="1025">
        <f t="shared" si="91"/>
        <v>0</v>
      </c>
      <c r="AL135" s="1026">
        <f t="shared" si="92"/>
        <v>0</v>
      </c>
      <c r="AM135" s="1027" t="str">
        <f t="shared" si="93"/>
        <v>-</v>
      </c>
      <c r="AN135" s="1028" t="str">
        <f t="shared" si="94"/>
        <v>-</v>
      </c>
      <c r="AO135" s="1028" t="str">
        <f t="shared" si="95"/>
        <v>-</v>
      </c>
      <c r="AP135" s="1028" t="str">
        <f t="shared" si="96"/>
        <v>-</v>
      </c>
      <c r="AQ135" s="1008" t="str">
        <f t="shared" si="97"/>
        <v>-</v>
      </c>
      <c r="AR135" s="1129"/>
      <c r="AS135" s="1129"/>
      <c r="AT135" s="1129"/>
      <c r="AU135" s="1119"/>
      <c r="AV135" s="1119"/>
      <c r="AW135" s="1119"/>
      <c r="AX135" s="1119"/>
      <c r="AY135" s="1119"/>
    </row>
    <row r="136" spans="1:51" ht="15">
      <c r="A136" s="1108"/>
      <c r="B136" s="926">
        <v>1025</v>
      </c>
      <c r="C136" s="897"/>
      <c r="D136" s="928" t="s">
        <v>1321</v>
      </c>
      <c r="E136" s="928">
        <v>72</v>
      </c>
      <c r="F136" s="968">
        <v>4</v>
      </c>
      <c r="G136" s="965">
        <v>18</v>
      </c>
      <c r="H136" s="942">
        <v>50.44193200527328</v>
      </c>
      <c r="I136" s="943">
        <v>0.7181666666666614</v>
      </c>
      <c r="J136" s="943">
        <v>83.641000000000005</v>
      </c>
      <c r="K136" s="943">
        <v>0.56066666666666665</v>
      </c>
      <c r="L136" s="944">
        <v>0</v>
      </c>
      <c r="M136" s="934">
        <v>16.335040767152996</v>
      </c>
      <c r="N136" s="934">
        <v>0.89967812827865234</v>
      </c>
      <c r="O136" s="934">
        <v>6.7652811045683503</v>
      </c>
      <c r="P136" s="934">
        <v>0</v>
      </c>
      <c r="Q136" s="934">
        <v>0.47596663419067659</v>
      </c>
      <c r="R136" s="935">
        <f t="shared" si="98"/>
        <v>7.2392600067803681</v>
      </c>
      <c r="S136" s="898">
        <f t="shared" si="99"/>
        <v>45.738456282434477</v>
      </c>
      <c r="T136" s="898">
        <f t="shared" si="100"/>
        <v>18.598456282434476</v>
      </c>
      <c r="U136" s="898">
        <f t="shared" si="101"/>
        <v>7.3694203348703766</v>
      </c>
      <c r="V136" s="898">
        <f t="shared" si="102"/>
        <v>0</v>
      </c>
      <c r="W136" s="945">
        <f t="shared" si="103"/>
        <v>12.825292877017743</v>
      </c>
      <c r="X136" s="656">
        <f t="shared" si="86"/>
        <v>1</v>
      </c>
      <c r="Y136" s="656">
        <f t="shared" si="86"/>
        <v>1</v>
      </c>
      <c r="Z136" s="656">
        <f t="shared" si="86"/>
        <v>1</v>
      </c>
      <c r="AA136" s="656">
        <f t="shared" si="86"/>
        <v>0</v>
      </c>
      <c r="AB136" s="946">
        <f t="shared" si="86"/>
        <v>1</v>
      </c>
      <c r="AC136" s="1108"/>
      <c r="AD136" s="1029" t="s">
        <v>231</v>
      </c>
      <c r="AE136" s="1030">
        <v>57</v>
      </c>
      <c r="AF136" s="1001"/>
      <c r="AG136" s="1001">
        <f t="shared" si="87"/>
        <v>3</v>
      </c>
      <c r="AH136" s="1024">
        <f t="shared" si="88"/>
        <v>1</v>
      </c>
      <c r="AI136" s="1025">
        <f t="shared" si="89"/>
        <v>1</v>
      </c>
      <c r="AJ136" s="1025">
        <f t="shared" si="90"/>
        <v>0</v>
      </c>
      <c r="AK136" s="1025">
        <f t="shared" si="91"/>
        <v>0</v>
      </c>
      <c r="AL136" s="1026">
        <f t="shared" si="92"/>
        <v>0</v>
      </c>
      <c r="AM136" s="1027">
        <f t="shared" si="93"/>
        <v>0</v>
      </c>
      <c r="AN136" s="1028">
        <f t="shared" si="94"/>
        <v>0.33333333333333331</v>
      </c>
      <c r="AO136" s="1028">
        <f t="shared" si="95"/>
        <v>0</v>
      </c>
      <c r="AP136" s="1028">
        <f t="shared" si="96"/>
        <v>0</v>
      </c>
      <c r="AQ136" s="1008">
        <f t="shared" si="97"/>
        <v>0</v>
      </c>
      <c r="AR136" s="1129"/>
      <c r="AS136" s="1129"/>
      <c r="AT136" s="1129"/>
      <c r="AU136" s="1119"/>
      <c r="AV136" s="1119"/>
      <c r="AW136" s="1119"/>
      <c r="AX136" s="1119"/>
      <c r="AY136" s="1119"/>
    </row>
    <row r="137" spans="1:51" ht="15">
      <c r="A137" s="1108"/>
      <c r="B137" s="926" t="s">
        <v>1348</v>
      </c>
      <c r="C137" s="897"/>
      <c r="D137" s="928" t="s">
        <v>1321</v>
      </c>
      <c r="E137" s="928">
        <v>72</v>
      </c>
      <c r="F137" s="968">
        <v>4</v>
      </c>
      <c r="G137" s="965">
        <v>18</v>
      </c>
      <c r="H137" s="942">
        <v>49.272645154145508</v>
      </c>
      <c r="I137" s="943">
        <v>0.71997083333332546</v>
      </c>
      <c r="J137" s="943">
        <v>84.268000000000001</v>
      </c>
      <c r="K137" s="943">
        <v>0.56066666666666665</v>
      </c>
      <c r="L137" s="944">
        <v>0</v>
      </c>
      <c r="M137" s="934">
        <v>16.335040767152996</v>
      </c>
      <c r="N137" s="934">
        <v>0.89967812827865234</v>
      </c>
      <c r="O137" s="934">
        <v>6.7652811045683503</v>
      </c>
      <c r="P137" s="934">
        <v>0</v>
      </c>
      <c r="Q137" s="934">
        <v>0.47596663419067659</v>
      </c>
      <c r="R137" s="935">
        <f t="shared" si="98"/>
        <v>7.5545595581676874</v>
      </c>
      <c r="S137" s="898">
        <f t="shared" si="99"/>
        <v>45.464726230585462</v>
      </c>
      <c r="T137" s="898">
        <f t="shared" si="100"/>
        <v>18.324726230585462</v>
      </c>
      <c r="U137" s="898">
        <f t="shared" si="101"/>
        <v>7.2651199477497794</v>
      </c>
      <c r="V137" s="898">
        <f t="shared" si="102"/>
        <v>0</v>
      </c>
      <c r="W137" s="945">
        <f t="shared" si="103"/>
        <v>12.599620514750082</v>
      </c>
      <c r="X137" s="656">
        <f t="shared" si="86"/>
        <v>1</v>
      </c>
      <c r="Y137" s="656">
        <f t="shared" si="86"/>
        <v>1</v>
      </c>
      <c r="Z137" s="656">
        <f t="shared" si="86"/>
        <v>0</v>
      </c>
      <c r="AA137" s="656">
        <f t="shared" si="86"/>
        <v>0</v>
      </c>
      <c r="AB137" s="946">
        <f t="shared" si="86"/>
        <v>1</v>
      </c>
      <c r="AC137" s="1108"/>
      <c r="AD137" s="1029" t="s">
        <v>135</v>
      </c>
      <c r="AE137" s="1030">
        <v>58</v>
      </c>
      <c r="AF137" s="1001"/>
      <c r="AG137" s="1001">
        <f t="shared" si="87"/>
        <v>18</v>
      </c>
      <c r="AH137" s="1024">
        <f t="shared" si="88"/>
        <v>15</v>
      </c>
      <c r="AI137" s="1025">
        <f t="shared" si="89"/>
        <v>13</v>
      </c>
      <c r="AJ137" s="1025">
        <f t="shared" si="90"/>
        <v>5</v>
      </c>
      <c r="AK137" s="1025">
        <f t="shared" si="91"/>
        <v>0</v>
      </c>
      <c r="AL137" s="1026">
        <f t="shared" si="92"/>
        <v>3</v>
      </c>
      <c r="AM137" s="1027">
        <f t="shared" si="93"/>
        <v>0.1111111111111111</v>
      </c>
      <c r="AN137" s="1028">
        <f t="shared" si="94"/>
        <v>0.44444444444444442</v>
      </c>
      <c r="AO137" s="1028">
        <f t="shared" si="95"/>
        <v>0.27777777777777779</v>
      </c>
      <c r="AP137" s="1028">
        <f t="shared" si="96"/>
        <v>0</v>
      </c>
      <c r="AQ137" s="1008">
        <f t="shared" si="97"/>
        <v>0.16666666666666666</v>
      </c>
      <c r="AR137" s="1129"/>
      <c r="AS137" s="1129"/>
      <c r="AT137" s="1129"/>
      <c r="AU137" s="1119"/>
      <c r="AV137" s="1119"/>
      <c r="AW137" s="1119"/>
      <c r="AX137" s="1119"/>
      <c r="AY137" s="1119"/>
    </row>
    <row r="138" spans="1:51" ht="15">
      <c r="A138" s="1108"/>
      <c r="B138" s="926">
        <v>1026</v>
      </c>
      <c r="C138" s="897"/>
      <c r="D138" s="928" t="s">
        <v>1321</v>
      </c>
      <c r="E138" s="928">
        <v>72</v>
      </c>
      <c r="F138" s="968">
        <v>4</v>
      </c>
      <c r="G138" s="965">
        <v>18</v>
      </c>
      <c r="H138" s="942">
        <v>24.065375302059003</v>
      </c>
      <c r="I138" s="943">
        <v>1.5303749999999816</v>
      </c>
      <c r="J138" s="943">
        <v>53.768333333326964</v>
      </c>
      <c r="K138" s="943">
        <v>1.1666666666666667</v>
      </c>
      <c r="L138" s="944">
        <v>0</v>
      </c>
      <c r="M138" s="934">
        <v>16.335040767152996</v>
      </c>
      <c r="N138" s="934">
        <v>0.89967812827865234</v>
      </c>
      <c r="O138" s="934">
        <v>6.7652811045683503</v>
      </c>
      <c r="P138" s="934">
        <v>0</v>
      </c>
      <c r="Q138" s="934">
        <v>0.47596663419067659</v>
      </c>
      <c r="R138" s="935">
        <f t="shared" si="98"/>
        <v>8.2870333465615182</v>
      </c>
      <c r="S138" s="898">
        <f t="shared" si="99"/>
        <v>39.563704358212014</v>
      </c>
      <c r="T138" s="898">
        <f t="shared" si="100"/>
        <v>12.423704358212014</v>
      </c>
      <c r="U138" s="898">
        <f t="shared" si="101"/>
        <v>5.0166314769436635</v>
      </c>
      <c r="V138" s="898">
        <f t="shared" si="102"/>
        <v>0</v>
      </c>
      <c r="W138" s="945">
        <f t="shared" si="103"/>
        <v>7.7346174332973874</v>
      </c>
      <c r="X138" s="656">
        <f t="shared" si="86"/>
        <v>1</v>
      </c>
      <c r="Y138" s="656">
        <f t="shared" si="86"/>
        <v>1</v>
      </c>
      <c r="Z138" s="656">
        <f t="shared" si="86"/>
        <v>0</v>
      </c>
      <c r="AA138" s="656">
        <f t="shared" si="86"/>
        <v>0</v>
      </c>
      <c r="AB138" s="946">
        <f t="shared" si="86"/>
        <v>0</v>
      </c>
      <c r="AC138" s="1108"/>
      <c r="AD138" s="1029" t="s">
        <v>1349</v>
      </c>
      <c r="AE138" s="1030">
        <v>58</v>
      </c>
      <c r="AF138" s="1001">
        <v>2</v>
      </c>
      <c r="AG138" s="1001">
        <f>COUNTIFS(Application_num_bc,AE138,PC_num_BC,AF138)</f>
        <v>16</v>
      </c>
      <c r="AH138" s="1024">
        <f>SUMIFS(Check0_BC,Application_num_bc,$AE138,PC_num_BC,$AF138)</f>
        <v>14</v>
      </c>
      <c r="AI138" s="1025">
        <f>SUMIFS(Check1_BC,Application_num_bc,$AE138,PC_num_BC,$AF138)</f>
        <v>12</v>
      </c>
      <c r="AJ138" s="1025">
        <f>SUMIFS(Check2_BC,Application_num_bc,$AE138,PC_num_BC,$AF138)</f>
        <v>5</v>
      </c>
      <c r="AK138" s="1025">
        <f>SUMIFS(Check3_BC,Application_num_bc,$AE138,PC_num_BC,$AF138)</f>
        <v>0</v>
      </c>
      <c r="AL138" s="1026">
        <f>SUMIFS(Check_PGE_bc,Application_num_bc,$AE138,PC_num_BC,$AF138)</f>
        <v>3</v>
      </c>
      <c r="AM138" s="1027">
        <f t="shared" si="93"/>
        <v>0.125</v>
      </c>
      <c r="AN138" s="1028">
        <f t="shared" si="94"/>
        <v>0.4375</v>
      </c>
      <c r="AO138" s="1028">
        <f t="shared" si="95"/>
        <v>0.3125</v>
      </c>
      <c r="AP138" s="1028">
        <f t="shared" si="96"/>
        <v>0</v>
      </c>
      <c r="AQ138" s="1008">
        <f t="shared" si="97"/>
        <v>0.1875</v>
      </c>
      <c r="AR138" s="1129"/>
      <c r="AS138" s="1129"/>
      <c r="AT138" s="1129"/>
      <c r="AU138" s="1119"/>
      <c r="AV138" s="1119"/>
      <c r="AW138" s="1119"/>
      <c r="AX138" s="1119"/>
      <c r="AY138" s="1119"/>
    </row>
    <row r="139" spans="1:51" ht="15">
      <c r="A139" s="1108"/>
      <c r="B139" s="926" t="s">
        <v>1350</v>
      </c>
      <c r="C139" s="897"/>
      <c r="D139" s="928" t="s">
        <v>1321</v>
      </c>
      <c r="E139" s="928">
        <v>72</v>
      </c>
      <c r="F139" s="968">
        <v>4</v>
      </c>
      <c r="G139" s="965">
        <v>18</v>
      </c>
      <c r="H139" s="942">
        <v>23.477050039803252</v>
      </c>
      <c r="I139" s="943">
        <v>1.549400000000015</v>
      </c>
      <c r="J139" s="943">
        <v>68.478999999999999</v>
      </c>
      <c r="K139" s="943">
        <v>1.1666666666666667</v>
      </c>
      <c r="L139" s="944">
        <v>0</v>
      </c>
      <c r="M139" s="934">
        <v>16.335040767152996</v>
      </c>
      <c r="N139" s="934">
        <v>0.89967812827865234</v>
      </c>
      <c r="O139" s="934">
        <v>6.7652811045683503</v>
      </c>
      <c r="P139" s="934">
        <v>0</v>
      </c>
      <c r="Q139" s="934">
        <v>0.47596663419067659</v>
      </c>
      <c r="R139" s="935">
        <f t="shared" si="98"/>
        <v>10.979002326887937</v>
      </c>
      <c r="S139" s="898">
        <f t="shared" si="99"/>
        <v>39.425977414317941</v>
      </c>
      <c r="T139" s="898">
        <f t="shared" si="100"/>
        <v>12.285977414317941</v>
      </c>
      <c r="U139" s="898">
        <f t="shared" si="101"/>
        <v>4.9641528635504502</v>
      </c>
      <c r="V139" s="898">
        <f t="shared" si="102"/>
        <v>0</v>
      </c>
      <c r="W139" s="945">
        <f t="shared" si="103"/>
        <v>7.6210706576820275</v>
      </c>
      <c r="X139" s="656">
        <f t="shared" si="86"/>
        <v>1</v>
      </c>
      <c r="Y139" s="656">
        <f t="shared" si="86"/>
        <v>1</v>
      </c>
      <c r="Z139" s="656">
        <f t="shared" si="86"/>
        <v>0</v>
      </c>
      <c r="AA139" s="656">
        <f t="shared" si="86"/>
        <v>0</v>
      </c>
      <c r="AB139" s="946">
        <f t="shared" si="86"/>
        <v>0</v>
      </c>
      <c r="AC139" s="1108"/>
      <c r="AD139" s="1029" t="s">
        <v>812</v>
      </c>
      <c r="AE139" s="1030">
        <v>59</v>
      </c>
      <c r="AF139" s="1001"/>
      <c r="AG139" s="1001">
        <f t="shared" ref="AG139:AG150" si="104">COUNTIF(Application_num_bc,AE139)</f>
        <v>2</v>
      </c>
      <c r="AH139" s="1024">
        <f t="shared" ref="AH139:AH150" si="105">SUMIFS(Check0_BC,Application_num_bc,$AE139)</f>
        <v>2</v>
      </c>
      <c r="AI139" s="1025">
        <f t="shared" ref="AI139:AI150" si="106">SUMIFS(Check1_BC,Application_num_bc,$AE139)</f>
        <v>1</v>
      </c>
      <c r="AJ139" s="1025">
        <f t="shared" ref="AJ139:AJ150" si="107">SUMIFS(Check2_BC,Application_num_bc,$AE139)</f>
        <v>0</v>
      </c>
      <c r="AK139" s="1025">
        <f t="shared" ref="AK139:AK150" si="108">SUMIFS(Check3_BC,Application_num_bc,$AE139)</f>
        <v>0</v>
      </c>
      <c r="AL139" s="1026">
        <f t="shared" ref="AL139:AL150" si="109">SUMIFS(Check_PGE_bc,Application_num_bc,$AE139)</f>
        <v>1</v>
      </c>
      <c r="AM139" s="1027">
        <f t="shared" si="93"/>
        <v>0.5</v>
      </c>
      <c r="AN139" s="1028">
        <f t="shared" si="94"/>
        <v>0.5</v>
      </c>
      <c r="AO139" s="1028">
        <f t="shared" si="95"/>
        <v>0</v>
      </c>
      <c r="AP139" s="1028">
        <f t="shared" si="96"/>
        <v>0</v>
      </c>
      <c r="AQ139" s="1008">
        <f t="shared" si="97"/>
        <v>0.5</v>
      </c>
      <c r="AR139" s="1129"/>
      <c r="AS139" s="1129"/>
      <c r="AT139" s="1129"/>
      <c r="AU139" s="1119"/>
      <c r="AV139" s="1119"/>
      <c r="AW139" s="1119"/>
      <c r="AX139" s="1119"/>
      <c r="AY139" s="1119"/>
    </row>
    <row r="140" spans="1:51" ht="15">
      <c r="A140" s="1108"/>
      <c r="B140" s="926">
        <v>1031</v>
      </c>
      <c r="C140" s="897"/>
      <c r="D140" s="928" t="s">
        <v>1321</v>
      </c>
      <c r="E140" s="928">
        <v>71</v>
      </c>
      <c r="F140" s="968">
        <v>4</v>
      </c>
      <c r="G140" s="965">
        <v>14.4</v>
      </c>
      <c r="H140" s="942">
        <v>22.901617144879836</v>
      </c>
      <c r="I140" s="943">
        <v>3.8011958333333888</v>
      </c>
      <c r="J140" s="943">
        <v>92.929000000000002</v>
      </c>
      <c r="K140" s="943">
        <v>0.25</v>
      </c>
      <c r="L140" s="944">
        <v>0</v>
      </c>
      <c r="M140" s="934">
        <v>16.335040767152996</v>
      </c>
      <c r="N140" s="934">
        <v>0.89967812827865234</v>
      </c>
      <c r="O140" s="934">
        <v>6.7652811045683503</v>
      </c>
      <c r="P140" s="934">
        <v>0</v>
      </c>
      <c r="Q140" s="934">
        <v>0.47596663419067659</v>
      </c>
      <c r="R140" s="935">
        <f t="shared" si="98"/>
        <v>19.062668438150244</v>
      </c>
      <c r="S140" s="898">
        <f t="shared" si="99"/>
        <v>39.291268573616371</v>
      </c>
      <c r="T140" s="898">
        <f t="shared" si="100"/>
        <v>12.15126857361637</v>
      </c>
      <c r="U140" s="898">
        <f t="shared" si="101"/>
        <v>4.9128242493232817</v>
      </c>
      <c r="V140" s="898">
        <f t="shared" si="102"/>
        <v>0</v>
      </c>
      <c r="W140" s="945">
        <f t="shared" si="103"/>
        <v>7.5100121089618082</v>
      </c>
      <c r="X140" s="656">
        <f t="shared" si="86"/>
        <v>1</v>
      </c>
      <c r="Y140" s="656">
        <f t="shared" si="86"/>
        <v>0</v>
      </c>
      <c r="Z140" s="656">
        <f t="shared" si="86"/>
        <v>0</v>
      </c>
      <c r="AA140" s="656">
        <f t="shared" si="86"/>
        <v>0</v>
      </c>
      <c r="AB140" s="946">
        <f t="shared" si="86"/>
        <v>0</v>
      </c>
      <c r="AC140" s="1108"/>
      <c r="AD140" s="1029" t="s">
        <v>232</v>
      </c>
      <c r="AE140" s="1030">
        <v>60</v>
      </c>
      <c r="AF140" s="1001"/>
      <c r="AG140" s="1001">
        <f t="shared" si="104"/>
        <v>9</v>
      </c>
      <c r="AH140" s="1024">
        <f t="shared" si="105"/>
        <v>9</v>
      </c>
      <c r="AI140" s="1025">
        <f t="shared" si="106"/>
        <v>8</v>
      </c>
      <c r="AJ140" s="1025">
        <f t="shared" si="107"/>
        <v>2</v>
      </c>
      <c r="AK140" s="1025">
        <f t="shared" si="108"/>
        <v>0</v>
      </c>
      <c r="AL140" s="1026">
        <f t="shared" si="109"/>
        <v>0</v>
      </c>
      <c r="AM140" s="1027">
        <f t="shared" si="93"/>
        <v>0.1111111111111111</v>
      </c>
      <c r="AN140" s="1028">
        <f t="shared" si="94"/>
        <v>0.66666666666666663</v>
      </c>
      <c r="AO140" s="1028">
        <f t="shared" si="95"/>
        <v>0.22222222222222221</v>
      </c>
      <c r="AP140" s="1028">
        <f t="shared" si="96"/>
        <v>0</v>
      </c>
      <c r="AQ140" s="1008">
        <f t="shared" si="97"/>
        <v>0</v>
      </c>
      <c r="AR140" s="1129"/>
      <c r="AS140" s="1129"/>
      <c r="AT140" s="1129"/>
      <c r="AU140" s="1119"/>
      <c r="AV140" s="1119"/>
      <c r="AW140" s="1119"/>
      <c r="AX140" s="1119"/>
      <c r="AY140" s="1119"/>
    </row>
    <row r="141" spans="1:51" ht="15">
      <c r="A141" s="1108"/>
      <c r="B141" s="926">
        <v>1032</v>
      </c>
      <c r="C141" s="897"/>
      <c r="D141" s="928" t="s">
        <v>1321</v>
      </c>
      <c r="E141" s="928">
        <v>71</v>
      </c>
      <c r="F141" s="968">
        <v>4</v>
      </c>
      <c r="G141" s="965">
        <v>10.8</v>
      </c>
      <c r="H141" s="942">
        <v>16.593323212172503</v>
      </c>
      <c r="I141" s="943">
        <v>2.7315666666666867</v>
      </c>
      <c r="J141" s="943">
        <v>67.581999999999994</v>
      </c>
      <c r="K141" s="943">
        <v>0.27</v>
      </c>
      <c r="L141" s="944">
        <v>0</v>
      </c>
      <c r="M141" s="934">
        <v>16.335040767152996</v>
      </c>
      <c r="N141" s="934">
        <v>0.89967812827865234</v>
      </c>
      <c r="O141" s="934">
        <v>6.7652811045683503</v>
      </c>
      <c r="P141" s="934">
        <v>0</v>
      </c>
      <c r="Q141" s="934">
        <v>0.47596663419067659</v>
      </c>
      <c r="R141" s="935">
        <f t="shared" si="98"/>
        <v>13.844028281829253</v>
      </c>
      <c r="S141" s="898">
        <f t="shared" si="99"/>
        <v>37.814496963969582</v>
      </c>
      <c r="T141" s="898">
        <f t="shared" si="100"/>
        <v>10.674496963969583</v>
      </c>
      <c r="U141" s="898">
        <f t="shared" si="101"/>
        <v>4.3501244305257876</v>
      </c>
      <c r="V141" s="898">
        <f t="shared" si="102"/>
        <v>0</v>
      </c>
      <c r="W141" s="945">
        <f t="shared" si="103"/>
        <v>6.2925113799492927</v>
      </c>
      <c r="X141" s="656">
        <f t="shared" si="86"/>
        <v>1</v>
      </c>
      <c r="Y141" s="656">
        <f t="shared" si="86"/>
        <v>0</v>
      </c>
      <c r="Z141" s="656">
        <f t="shared" si="86"/>
        <v>0</v>
      </c>
      <c r="AA141" s="656">
        <f t="shared" si="86"/>
        <v>0</v>
      </c>
      <c r="AB141" s="946">
        <f t="shared" si="86"/>
        <v>0</v>
      </c>
      <c r="AC141" s="1108"/>
      <c r="AD141" s="1029" t="s">
        <v>138</v>
      </c>
      <c r="AE141" s="1030">
        <v>61</v>
      </c>
      <c r="AF141" s="1001"/>
      <c r="AG141" s="1001">
        <f t="shared" si="104"/>
        <v>9</v>
      </c>
      <c r="AH141" s="1024">
        <f t="shared" si="105"/>
        <v>8</v>
      </c>
      <c r="AI141" s="1025">
        <f t="shared" si="106"/>
        <v>2</v>
      </c>
      <c r="AJ141" s="1025">
        <f t="shared" si="107"/>
        <v>1</v>
      </c>
      <c r="AK141" s="1025">
        <f t="shared" si="108"/>
        <v>0</v>
      </c>
      <c r="AL141" s="1026">
        <f t="shared" si="109"/>
        <v>0</v>
      </c>
      <c r="AM141" s="1027">
        <f t="shared" si="93"/>
        <v>0.66666666666666663</v>
      </c>
      <c r="AN141" s="1028">
        <f t="shared" si="94"/>
        <v>0.1111111111111111</v>
      </c>
      <c r="AO141" s="1028">
        <f t="shared" si="95"/>
        <v>0.1111111111111111</v>
      </c>
      <c r="AP141" s="1028">
        <f t="shared" si="96"/>
        <v>0</v>
      </c>
      <c r="AQ141" s="1008">
        <f t="shared" si="97"/>
        <v>0</v>
      </c>
      <c r="AR141" s="1129"/>
      <c r="AS141" s="1129"/>
      <c r="AT141" s="1129"/>
      <c r="AU141" s="1119"/>
      <c r="AV141" s="1119"/>
      <c r="AW141" s="1119"/>
      <c r="AX141" s="1119"/>
      <c r="AY141" s="1119"/>
    </row>
    <row r="142" spans="1:51" ht="15">
      <c r="A142" s="1110"/>
      <c r="B142" s="926" t="s">
        <v>1351</v>
      </c>
      <c r="C142" s="897"/>
      <c r="D142" s="928" t="s">
        <v>1321</v>
      </c>
      <c r="E142" s="928">
        <v>71</v>
      </c>
      <c r="F142" s="968">
        <v>4</v>
      </c>
      <c r="G142" s="965">
        <v>12</v>
      </c>
      <c r="H142" s="942">
        <v>23.984221160282502</v>
      </c>
      <c r="I142" s="943">
        <v>1.3081083333333376</v>
      </c>
      <c r="J142" s="943">
        <v>63.058</v>
      </c>
      <c r="K142" s="943">
        <v>0.6236666666666667</v>
      </c>
      <c r="L142" s="944">
        <v>0</v>
      </c>
      <c r="M142" s="934">
        <v>16.335040767152996</v>
      </c>
      <c r="N142" s="934">
        <v>0.89967812827865234</v>
      </c>
      <c r="O142" s="934">
        <v>6.7652811045683503</v>
      </c>
      <c r="P142" s="934">
        <v>0</v>
      </c>
      <c r="Q142" s="934">
        <v>0.47596663419067659</v>
      </c>
      <c r="R142" s="935">
        <f t="shared" si="98"/>
        <v>9.3382093180253367</v>
      </c>
      <c r="S142" s="898">
        <f t="shared" si="99"/>
        <v>39.544706173622131</v>
      </c>
      <c r="T142" s="898">
        <f t="shared" si="100"/>
        <v>12.404706173622134</v>
      </c>
      <c r="U142" s="898">
        <f t="shared" si="101"/>
        <v>5.0093925274971998</v>
      </c>
      <c r="V142" s="898">
        <f t="shared" si="102"/>
        <v>0</v>
      </c>
      <c r="W142" s="945">
        <f t="shared" si="103"/>
        <v>7.7189546839345224</v>
      </c>
      <c r="X142" s="656">
        <f t="shared" si="86"/>
        <v>1</v>
      </c>
      <c r="Y142" s="656">
        <f t="shared" si="86"/>
        <v>1</v>
      </c>
      <c r="Z142" s="656">
        <f t="shared" si="86"/>
        <v>0</v>
      </c>
      <c r="AA142" s="656">
        <f t="shared" si="86"/>
        <v>0</v>
      </c>
      <c r="AB142" s="946">
        <f t="shared" si="86"/>
        <v>0</v>
      </c>
      <c r="AC142" s="1108"/>
      <c r="AD142" s="1029" t="s">
        <v>848</v>
      </c>
      <c r="AE142" s="1030">
        <v>62</v>
      </c>
      <c r="AF142" s="1001"/>
      <c r="AG142" s="1001">
        <f t="shared" si="104"/>
        <v>0</v>
      </c>
      <c r="AH142" s="1024">
        <f t="shared" si="105"/>
        <v>0</v>
      </c>
      <c r="AI142" s="1025">
        <f t="shared" si="106"/>
        <v>0</v>
      </c>
      <c r="AJ142" s="1025">
        <f t="shared" si="107"/>
        <v>0</v>
      </c>
      <c r="AK142" s="1025">
        <f t="shared" si="108"/>
        <v>0</v>
      </c>
      <c r="AL142" s="1026">
        <f t="shared" si="109"/>
        <v>0</v>
      </c>
      <c r="AM142" s="1027" t="str">
        <f t="shared" si="93"/>
        <v>-</v>
      </c>
      <c r="AN142" s="1028" t="str">
        <f t="shared" si="94"/>
        <v>-</v>
      </c>
      <c r="AO142" s="1028" t="str">
        <f t="shared" si="95"/>
        <v>-</v>
      </c>
      <c r="AP142" s="1028" t="str">
        <f t="shared" si="96"/>
        <v>-</v>
      </c>
      <c r="AQ142" s="1008" t="str">
        <f t="shared" si="97"/>
        <v>-</v>
      </c>
      <c r="AR142" s="1129"/>
      <c r="AS142" s="1129"/>
      <c r="AT142" s="1129"/>
      <c r="AU142" s="1119"/>
      <c r="AV142" s="1119"/>
      <c r="AW142" s="1119"/>
      <c r="AX142" s="1119"/>
      <c r="AY142" s="1119"/>
    </row>
    <row r="143" spans="1:51" ht="15">
      <c r="A143" s="1110"/>
      <c r="B143" s="926" t="s">
        <v>1324</v>
      </c>
      <c r="C143" s="897"/>
      <c r="D143" s="928" t="s">
        <v>1321</v>
      </c>
      <c r="E143" s="928">
        <v>71</v>
      </c>
      <c r="F143" s="968">
        <v>4</v>
      </c>
      <c r="G143" s="965">
        <v>9.6</v>
      </c>
      <c r="H143" s="942">
        <v>19.291809694437809</v>
      </c>
      <c r="I143" s="943">
        <v>1.0678166666666604</v>
      </c>
      <c r="J143" s="943">
        <v>54.529000000000003</v>
      </c>
      <c r="K143" s="943">
        <v>0.6236666666666667</v>
      </c>
      <c r="L143" s="944">
        <v>0</v>
      </c>
      <c r="M143" s="934">
        <v>16.335040767152996</v>
      </c>
      <c r="N143" s="934">
        <v>0.89967812827865234</v>
      </c>
      <c r="O143" s="934">
        <v>6.7652811045683503</v>
      </c>
      <c r="P143" s="934">
        <v>0</v>
      </c>
      <c r="Q143" s="934">
        <v>0.47596663419067659</v>
      </c>
      <c r="R143" s="935">
        <f t="shared" si="98"/>
        <v>8.2408869241281479</v>
      </c>
      <c r="S143" s="898">
        <f t="shared" si="99"/>
        <v>38.446212649467888</v>
      </c>
      <c r="T143" s="898">
        <f t="shared" si="100"/>
        <v>11.306212649467891</v>
      </c>
      <c r="U143" s="898">
        <f t="shared" si="101"/>
        <v>4.5908294247438528</v>
      </c>
      <c r="V143" s="898">
        <f t="shared" si="102"/>
        <v>0</v>
      </c>
      <c r="W143" s="945">
        <f t="shared" si="103"/>
        <v>6.8133192710264971</v>
      </c>
      <c r="X143" s="656">
        <f t="shared" si="86"/>
        <v>1</v>
      </c>
      <c r="Y143" s="656">
        <f t="shared" si="86"/>
        <v>1</v>
      </c>
      <c r="Z143" s="656">
        <f t="shared" si="86"/>
        <v>0</v>
      </c>
      <c r="AA143" s="656">
        <f t="shared" si="86"/>
        <v>0</v>
      </c>
      <c r="AB143" s="946">
        <f t="shared" si="86"/>
        <v>0</v>
      </c>
      <c r="AC143" s="1108"/>
      <c r="AD143" s="1029" t="s">
        <v>381</v>
      </c>
      <c r="AE143" s="1030">
        <v>63</v>
      </c>
      <c r="AF143" s="1001"/>
      <c r="AG143" s="1001">
        <f t="shared" si="104"/>
        <v>0</v>
      </c>
      <c r="AH143" s="1024">
        <f t="shared" si="105"/>
        <v>0</v>
      </c>
      <c r="AI143" s="1025">
        <f t="shared" si="106"/>
        <v>0</v>
      </c>
      <c r="AJ143" s="1025">
        <f t="shared" si="107"/>
        <v>0</v>
      </c>
      <c r="AK143" s="1025">
        <f t="shared" si="108"/>
        <v>0</v>
      </c>
      <c r="AL143" s="1026">
        <f t="shared" si="109"/>
        <v>0</v>
      </c>
      <c r="AM143" s="1027" t="str">
        <f t="shared" si="93"/>
        <v>-</v>
      </c>
      <c r="AN143" s="1028" t="str">
        <f t="shared" si="94"/>
        <v>-</v>
      </c>
      <c r="AO143" s="1028" t="str">
        <f t="shared" si="95"/>
        <v>-</v>
      </c>
      <c r="AP143" s="1028" t="str">
        <f t="shared" si="96"/>
        <v>-</v>
      </c>
      <c r="AQ143" s="1008" t="str">
        <f t="shared" si="97"/>
        <v>-</v>
      </c>
      <c r="AR143" s="1129"/>
      <c r="AS143" s="1129"/>
      <c r="AT143" s="1129"/>
      <c r="AU143" s="1119"/>
      <c r="AV143" s="1119"/>
      <c r="AW143" s="1119"/>
      <c r="AX143" s="1119"/>
      <c r="AY143" s="1119"/>
    </row>
    <row r="144" spans="1:51" ht="15">
      <c r="A144" s="1111"/>
      <c r="B144" s="926" t="s">
        <v>1352</v>
      </c>
      <c r="C144" s="897"/>
      <c r="D144" s="928" t="s">
        <v>1321</v>
      </c>
      <c r="E144" s="928">
        <v>71</v>
      </c>
      <c r="F144" s="968">
        <v>4</v>
      </c>
      <c r="G144" s="965">
        <v>18</v>
      </c>
      <c r="H144" s="942">
        <v>40.772936613472687</v>
      </c>
      <c r="I144" s="943">
        <v>1.2257083333333376</v>
      </c>
      <c r="J144" s="943">
        <v>80.858999999999995</v>
      </c>
      <c r="K144" s="943">
        <v>0.6236666666666667</v>
      </c>
      <c r="L144" s="944">
        <v>0</v>
      </c>
      <c r="M144" s="934">
        <v>16.335040767152996</v>
      </c>
      <c r="N144" s="934">
        <v>0.89967812827865234</v>
      </c>
      <c r="O144" s="934">
        <v>6.7652811045683503</v>
      </c>
      <c r="P144" s="934">
        <v>0</v>
      </c>
      <c r="Q144" s="934">
        <v>0.47596663419067659</v>
      </c>
      <c r="R144" s="935">
        <f t="shared" si="98"/>
        <v>9.3663427607052245</v>
      </c>
      <c r="S144" s="898">
        <f t="shared" si="99"/>
        <v>43.474944461213958</v>
      </c>
      <c r="T144" s="898">
        <f t="shared" si="100"/>
        <v>16.334944461213958</v>
      </c>
      <c r="U144" s="898">
        <f t="shared" si="101"/>
        <v>6.506945945921764</v>
      </c>
      <c r="V144" s="898">
        <f t="shared" si="102"/>
        <v>0</v>
      </c>
      <c r="W144" s="945">
        <f t="shared" si="103"/>
        <v>10.95917676640023</v>
      </c>
      <c r="X144" s="656">
        <f t="shared" si="86"/>
        <v>1</v>
      </c>
      <c r="Y144" s="656">
        <f t="shared" si="86"/>
        <v>1</v>
      </c>
      <c r="Z144" s="656">
        <f t="shared" si="86"/>
        <v>0</v>
      </c>
      <c r="AA144" s="656">
        <f t="shared" si="86"/>
        <v>0</v>
      </c>
      <c r="AB144" s="946">
        <f t="shared" si="86"/>
        <v>1</v>
      </c>
      <c r="AC144" s="1108"/>
      <c r="AD144" s="1029" t="s">
        <v>136</v>
      </c>
      <c r="AE144" s="1030">
        <v>64</v>
      </c>
      <c r="AF144" s="1001"/>
      <c r="AG144" s="1001">
        <f t="shared" si="104"/>
        <v>0</v>
      </c>
      <c r="AH144" s="1024">
        <f t="shared" si="105"/>
        <v>0</v>
      </c>
      <c r="AI144" s="1025">
        <f t="shared" si="106"/>
        <v>0</v>
      </c>
      <c r="AJ144" s="1025">
        <f t="shared" si="107"/>
        <v>0</v>
      </c>
      <c r="AK144" s="1025">
        <f t="shared" si="108"/>
        <v>0</v>
      </c>
      <c r="AL144" s="1026">
        <f t="shared" si="109"/>
        <v>0</v>
      </c>
      <c r="AM144" s="1027" t="str">
        <f t="shared" si="93"/>
        <v>-</v>
      </c>
      <c r="AN144" s="1028" t="str">
        <f t="shared" si="94"/>
        <v>-</v>
      </c>
      <c r="AO144" s="1028" t="str">
        <f t="shared" si="95"/>
        <v>-</v>
      </c>
      <c r="AP144" s="1028" t="str">
        <f t="shared" si="96"/>
        <v>-</v>
      </c>
      <c r="AQ144" s="1008" t="str">
        <f t="shared" si="97"/>
        <v>-</v>
      </c>
      <c r="AR144" s="1129"/>
      <c r="AS144" s="1129"/>
      <c r="AT144" s="1129"/>
      <c r="AU144" s="1119"/>
      <c r="AV144" s="1119"/>
      <c r="AW144" s="1119"/>
      <c r="AX144" s="1119"/>
      <c r="AY144" s="1119"/>
    </row>
    <row r="145" spans="1:51" ht="15">
      <c r="A145" s="1110"/>
      <c r="B145" s="926" t="s">
        <v>1353</v>
      </c>
      <c r="C145" s="897"/>
      <c r="D145" s="928" t="s">
        <v>1321</v>
      </c>
      <c r="E145" s="928">
        <v>71</v>
      </c>
      <c r="F145" s="968">
        <v>4</v>
      </c>
      <c r="G145" s="965">
        <v>12</v>
      </c>
      <c r="H145" s="942">
        <v>12.500064874895486</v>
      </c>
      <c r="I145" s="943">
        <v>1.9572583333333291</v>
      </c>
      <c r="J145" s="943">
        <v>68.093999999999994</v>
      </c>
      <c r="K145" s="943">
        <v>1.7</v>
      </c>
      <c r="L145" s="944">
        <v>0</v>
      </c>
      <c r="M145" s="934">
        <v>16.335040767152996</v>
      </c>
      <c r="N145" s="934">
        <v>0.89967812827865234</v>
      </c>
      <c r="O145" s="934">
        <v>6.7652811045683503</v>
      </c>
      <c r="P145" s="934">
        <v>0</v>
      </c>
      <c r="Q145" s="934">
        <v>0.47596663419067659</v>
      </c>
      <c r="R145" s="935">
        <f t="shared" si="98"/>
        <v>13.725479637012686</v>
      </c>
      <c r="S145" s="898">
        <f t="shared" si="99"/>
        <v>36.856265187213033</v>
      </c>
      <c r="T145" s="898">
        <f t="shared" si="100"/>
        <v>9.7162651872130326</v>
      </c>
      <c r="U145" s="898">
        <f t="shared" si="101"/>
        <v>3.9850057868406772</v>
      </c>
      <c r="V145" s="898">
        <f t="shared" si="102"/>
        <v>0</v>
      </c>
      <c r="W145" s="945">
        <f t="shared" si="103"/>
        <v>5.5025125208548289</v>
      </c>
      <c r="X145" s="656">
        <f t="shared" si="86"/>
        <v>1</v>
      </c>
      <c r="Y145" s="656">
        <f t="shared" si="86"/>
        <v>0</v>
      </c>
      <c r="Z145" s="656">
        <f t="shared" si="86"/>
        <v>0</v>
      </c>
      <c r="AA145" s="656">
        <f t="shared" si="86"/>
        <v>0</v>
      </c>
      <c r="AB145" s="946">
        <f t="shared" si="86"/>
        <v>0</v>
      </c>
      <c r="AC145" s="1108"/>
      <c r="AD145" s="1029" t="s">
        <v>137</v>
      </c>
      <c r="AE145" s="1030">
        <v>65</v>
      </c>
      <c r="AF145" s="1001"/>
      <c r="AG145" s="1001">
        <f t="shared" si="104"/>
        <v>4</v>
      </c>
      <c r="AH145" s="1024">
        <f t="shared" si="105"/>
        <v>4</v>
      </c>
      <c r="AI145" s="1025">
        <f t="shared" si="106"/>
        <v>4</v>
      </c>
      <c r="AJ145" s="1025">
        <f t="shared" si="107"/>
        <v>4</v>
      </c>
      <c r="AK145" s="1025">
        <f t="shared" si="108"/>
        <v>1</v>
      </c>
      <c r="AL145" s="1026">
        <f t="shared" si="109"/>
        <v>4</v>
      </c>
      <c r="AM145" s="1027">
        <f t="shared" si="93"/>
        <v>0</v>
      </c>
      <c r="AN145" s="1028">
        <f t="shared" si="94"/>
        <v>0</v>
      </c>
      <c r="AO145" s="1028">
        <f t="shared" si="95"/>
        <v>0.75</v>
      </c>
      <c r="AP145" s="1028">
        <f t="shared" si="96"/>
        <v>0.25</v>
      </c>
      <c r="AQ145" s="1008">
        <f t="shared" si="97"/>
        <v>1</v>
      </c>
      <c r="AR145" s="1129"/>
      <c r="AS145" s="1129"/>
      <c r="AT145" s="1129"/>
      <c r="AU145" s="1119"/>
      <c r="AV145" s="1119"/>
      <c r="AW145" s="1119"/>
      <c r="AX145" s="1119"/>
      <c r="AY145" s="1119"/>
    </row>
    <row r="146" spans="1:51" ht="15">
      <c r="A146" s="1111"/>
      <c r="B146" s="926" t="s">
        <v>1354</v>
      </c>
      <c r="C146" s="897"/>
      <c r="D146" s="928" t="s">
        <v>1321</v>
      </c>
      <c r="E146" s="928">
        <v>71</v>
      </c>
      <c r="F146" s="968">
        <v>4</v>
      </c>
      <c r="G146" s="965">
        <v>14.4</v>
      </c>
      <c r="H146" s="942">
        <v>18.59192946218942</v>
      </c>
      <c r="I146" s="943">
        <v>1.7291545833333293</v>
      </c>
      <c r="J146" s="943">
        <v>56.51</v>
      </c>
      <c r="K146" s="943">
        <v>1.7</v>
      </c>
      <c r="L146" s="944">
        <v>0</v>
      </c>
      <c r="M146" s="934">
        <v>16.335040767152996</v>
      </c>
      <c r="N146" s="934">
        <v>0.89967812827865234</v>
      </c>
      <c r="O146" s="934">
        <v>6.7652811045683503</v>
      </c>
      <c r="P146" s="934">
        <v>0</v>
      </c>
      <c r="Q146" s="934">
        <v>0.47596663419067659</v>
      </c>
      <c r="R146" s="935">
        <f t="shared" si="98"/>
        <v>10.245740730688073</v>
      </c>
      <c r="S146" s="898">
        <f t="shared" si="99"/>
        <v>38.282370687098542</v>
      </c>
      <c r="T146" s="898">
        <f t="shared" si="100"/>
        <v>11.142370687098543</v>
      </c>
      <c r="U146" s="898">
        <f t="shared" si="101"/>
        <v>4.5284001080272969</v>
      </c>
      <c r="V146" s="898">
        <f t="shared" si="102"/>
        <v>0</v>
      </c>
      <c r="W146" s="945">
        <f t="shared" si="103"/>
        <v>6.6782423862025579</v>
      </c>
      <c r="X146" s="656">
        <f t="shared" si="86"/>
        <v>1</v>
      </c>
      <c r="Y146" s="656">
        <f t="shared" si="86"/>
        <v>1</v>
      </c>
      <c r="Z146" s="656">
        <f t="shared" si="86"/>
        <v>0</v>
      </c>
      <c r="AA146" s="656">
        <f t="shared" si="86"/>
        <v>0</v>
      </c>
      <c r="AB146" s="946">
        <f t="shared" si="86"/>
        <v>0</v>
      </c>
      <c r="AC146" s="1108"/>
      <c r="AD146" s="1029" t="s">
        <v>781</v>
      </c>
      <c r="AE146" s="1030">
        <v>66</v>
      </c>
      <c r="AF146" s="1001"/>
      <c r="AG146" s="1001">
        <f t="shared" si="104"/>
        <v>0</v>
      </c>
      <c r="AH146" s="1024">
        <f t="shared" si="105"/>
        <v>0</v>
      </c>
      <c r="AI146" s="1025">
        <f t="shared" si="106"/>
        <v>0</v>
      </c>
      <c r="AJ146" s="1025">
        <f t="shared" si="107"/>
        <v>0</v>
      </c>
      <c r="AK146" s="1025">
        <f t="shared" si="108"/>
        <v>0</v>
      </c>
      <c r="AL146" s="1026">
        <f t="shared" si="109"/>
        <v>0</v>
      </c>
      <c r="AM146" s="1027" t="str">
        <f t="shared" si="93"/>
        <v>-</v>
      </c>
      <c r="AN146" s="1028" t="str">
        <f t="shared" si="94"/>
        <v>-</v>
      </c>
      <c r="AO146" s="1028" t="str">
        <f t="shared" si="95"/>
        <v>-</v>
      </c>
      <c r="AP146" s="1028" t="str">
        <f t="shared" si="96"/>
        <v>-</v>
      </c>
      <c r="AQ146" s="1008" t="str">
        <f t="shared" si="97"/>
        <v>-</v>
      </c>
      <c r="AR146" s="1129"/>
      <c r="AS146" s="1129"/>
      <c r="AT146" s="1129"/>
      <c r="AU146" s="1119"/>
      <c r="AV146" s="1119"/>
      <c r="AW146" s="1119"/>
      <c r="AX146" s="1119"/>
      <c r="AY146" s="1119"/>
    </row>
    <row r="147" spans="1:51" ht="15">
      <c r="A147" s="1110"/>
      <c r="B147" s="926" t="s">
        <v>1355</v>
      </c>
      <c r="C147" s="897"/>
      <c r="D147" s="928" t="s">
        <v>1321</v>
      </c>
      <c r="E147" s="928">
        <v>72</v>
      </c>
      <c r="F147" s="968">
        <v>4</v>
      </c>
      <c r="G147" s="965">
        <v>18</v>
      </c>
      <c r="H147" s="942">
        <v>33.13830777211097</v>
      </c>
      <c r="I147" s="943">
        <v>1.7291458333333336</v>
      </c>
      <c r="J147" s="943">
        <v>69.489999999999995</v>
      </c>
      <c r="K147" s="943">
        <v>1.7</v>
      </c>
      <c r="L147" s="944">
        <v>0</v>
      </c>
      <c r="M147" s="934">
        <v>16.335040767152996</v>
      </c>
      <c r="N147" s="934">
        <v>0.89967812827865234</v>
      </c>
      <c r="O147" s="934">
        <v>6.7652811045683503</v>
      </c>
      <c r="P147" s="934">
        <v>0</v>
      </c>
      <c r="Q147" s="934">
        <v>0.47596663419067659</v>
      </c>
      <c r="R147" s="935">
        <f t="shared" si="98"/>
        <v>9.9736015520985752</v>
      </c>
      <c r="S147" s="898">
        <f t="shared" si="99"/>
        <v>41.687677849451177</v>
      </c>
      <c r="T147" s="898">
        <f t="shared" si="100"/>
        <v>14.547677849451178</v>
      </c>
      <c r="U147" s="898">
        <f t="shared" si="101"/>
        <v>5.8259370532722983</v>
      </c>
      <c r="V147" s="898">
        <f t="shared" si="102"/>
        <v>0</v>
      </c>
      <c r="W147" s="945">
        <f t="shared" si="103"/>
        <v>9.4856934000174178</v>
      </c>
      <c r="X147" s="656">
        <f t="shared" si="86"/>
        <v>1</v>
      </c>
      <c r="Y147" s="656">
        <f t="shared" si="86"/>
        <v>1</v>
      </c>
      <c r="Z147" s="656">
        <f t="shared" si="86"/>
        <v>0</v>
      </c>
      <c r="AA147" s="656">
        <f t="shared" si="86"/>
        <v>0</v>
      </c>
      <c r="AB147" s="946">
        <f t="shared" si="86"/>
        <v>0</v>
      </c>
      <c r="AC147" s="1108"/>
      <c r="AD147" s="1029" t="s">
        <v>782</v>
      </c>
      <c r="AE147" s="1030">
        <v>67</v>
      </c>
      <c r="AF147" s="1001"/>
      <c r="AG147" s="1001">
        <f t="shared" si="104"/>
        <v>0</v>
      </c>
      <c r="AH147" s="1024">
        <f t="shared" si="105"/>
        <v>0</v>
      </c>
      <c r="AI147" s="1025">
        <f t="shared" si="106"/>
        <v>0</v>
      </c>
      <c r="AJ147" s="1025">
        <f t="shared" si="107"/>
        <v>0</v>
      </c>
      <c r="AK147" s="1025">
        <f t="shared" si="108"/>
        <v>0</v>
      </c>
      <c r="AL147" s="1026">
        <f t="shared" si="109"/>
        <v>0</v>
      </c>
      <c r="AM147" s="1027" t="str">
        <f t="shared" si="93"/>
        <v>-</v>
      </c>
      <c r="AN147" s="1028" t="str">
        <f t="shared" si="94"/>
        <v>-</v>
      </c>
      <c r="AO147" s="1028" t="str">
        <f t="shared" si="95"/>
        <v>-</v>
      </c>
      <c r="AP147" s="1028" t="str">
        <f t="shared" si="96"/>
        <v>-</v>
      </c>
      <c r="AQ147" s="1008" t="str">
        <f t="shared" si="97"/>
        <v>-</v>
      </c>
      <c r="AR147" s="1129"/>
      <c r="AS147" s="1129"/>
      <c r="AT147" s="1129"/>
      <c r="AU147" s="1119"/>
      <c r="AV147" s="1119"/>
      <c r="AW147" s="1119"/>
      <c r="AX147" s="1119"/>
      <c r="AY147" s="1119"/>
    </row>
    <row r="148" spans="1:51" ht="15">
      <c r="A148" s="1111"/>
      <c r="B148" s="926" t="s">
        <v>1356</v>
      </c>
      <c r="C148" s="897"/>
      <c r="D148" s="928" t="s">
        <v>1321</v>
      </c>
      <c r="E148" s="928">
        <v>72</v>
      </c>
      <c r="F148" s="968">
        <v>4</v>
      </c>
      <c r="G148" s="965">
        <v>18</v>
      </c>
      <c r="H148" s="942">
        <v>23.770171297976603</v>
      </c>
      <c r="I148" s="943">
        <v>1.811291666666702</v>
      </c>
      <c r="J148" s="943">
        <v>76.599999999999994</v>
      </c>
      <c r="K148" s="943">
        <v>1.7</v>
      </c>
      <c r="L148" s="944">
        <v>0</v>
      </c>
      <c r="M148" s="934">
        <v>16.335040767152996</v>
      </c>
      <c r="N148" s="934">
        <v>0.89967812827865234</v>
      </c>
      <c r="O148" s="934">
        <v>6.7652811045683503</v>
      </c>
      <c r="P148" s="934">
        <v>0</v>
      </c>
      <c r="Q148" s="934">
        <v>0.47596663419067659</v>
      </c>
      <c r="R148" s="935">
        <f t="shared" si="98"/>
        <v>12.983585174514854</v>
      </c>
      <c r="S148" s="898">
        <f t="shared" si="99"/>
        <v>39.494597100856325</v>
      </c>
      <c r="T148" s="898">
        <f t="shared" si="100"/>
        <v>12.354597100856322</v>
      </c>
      <c r="U148" s="898">
        <f t="shared" si="101"/>
        <v>4.9902992797795136</v>
      </c>
      <c r="V148" s="898">
        <f t="shared" si="102"/>
        <v>0</v>
      </c>
      <c r="W148" s="945">
        <f t="shared" si="103"/>
        <v>7.6776430605094843</v>
      </c>
      <c r="X148" s="656">
        <f t="shared" si="86"/>
        <v>1</v>
      </c>
      <c r="Y148" s="656">
        <f t="shared" si="86"/>
        <v>0</v>
      </c>
      <c r="Z148" s="656">
        <f t="shared" si="86"/>
        <v>0</v>
      </c>
      <c r="AA148" s="656">
        <f t="shared" si="86"/>
        <v>0</v>
      </c>
      <c r="AB148" s="946">
        <f t="shared" si="86"/>
        <v>0</v>
      </c>
      <c r="AC148" s="1108"/>
      <c r="AD148" s="1029" t="s">
        <v>783</v>
      </c>
      <c r="AE148" s="1030">
        <v>68</v>
      </c>
      <c r="AF148" s="1001"/>
      <c r="AG148" s="1001">
        <f t="shared" si="104"/>
        <v>0</v>
      </c>
      <c r="AH148" s="1024">
        <f t="shared" si="105"/>
        <v>0</v>
      </c>
      <c r="AI148" s="1025">
        <f t="shared" si="106"/>
        <v>0</v>
      </c>
      <c r="AJ148" s="1025">
        <f t="shared" si="107"/>
        <v>0</v>
      </c>
      <c r="AK148" s="1025">
        <f t="shared" si="108"/>
        <v>0</v>
      </c>
      <c r="AL148" s="1026">
        <f t="shared" si="109"/>
        <v>0</v>
      </c>
      <c r="AM148" s="1027" t="str">
        <f t="shared" si="93"/>
        <v>-</v>
      </c>
      <c r="AN148" s="1028" t="str">
        <f t="shared" si="94"/>
        <v>-</v>
      </c>
      <c r="AO148" s="1028" t="str">
        <f t="shared" si="95"/>
        <v>-</v>
      </c>
      <c r="AP148" s="1028" t="str">
        <f t="shared" si="96"/>
        <v>-</v>
      </c>
      <c r="AQ148" s="1008" t="str">
        <f t="shared" si="97"/>
        <v>-</v>
      </c>
      <c r="AR148" s="1129"/>
      <c r="AS148" s="1129"/>
      <c r="AT148" s="1129"/>
      <c r="AU148" s="1119"/>
      <c r="AV148" s="1119"/>
      <c r="AW148" s="1119"/>
      <c r="AX148" s="1119"/>
      <c r="AY148" s="1119"/>
    </row>
    <row r="149" spans="1:51" ht="15">
      <c r="A149" s="1108"/>
      <c r="B149" s="926" t="s">
        <v>1357</v>
      </c>
      <c r="C149" s="897"/>
      <c r="D149" s="928" t="s">
        <v>1321</v>
      </c>
      <c r="E149" s="928">
        <v>72</v>
      </c>
      <c r="F149" s="968">
        <v>4</v>
      </c>
      <c r="G149" s="965">
        <v>18</v>
      </c>
      <c r="H149" s="942">
        <v>23.195625394116504</v>
      </c>
      <c r="I149" s="943">
        <v>0.82206666666664108</v>
      </c>
      <c r="J149" s="943">
        <v>47.685000000000002</v>
      </c>
      <c r="K149" s="943">
        <v>0.56500000000000006</v>
      </c>
      <c r="L149" s="944">
        <v>0</v>
      </c>
      <c r="M149" s="934">
        <v>16.335040767152996</v>
      </c>
      <c r="N149" s="934">
        <v>0.89967812827865234</v>
      </c>
      <c r="O149" s="934">
        <v>6.7652811045683503</v>
      </c>
      <c r="P149" s="934">
        <v>0</v>
      </c>
      <c r="Q149" s="934">
        <v>0.47596663419067659</v>
      </c>
      <c r="R149" s="935">
        <f t="shared" si="98"/>
        <v>5.9138411623791791</v>
      </c>
      <c r="S149" s="898">
        <f t="shared" si="99"/>
        <v>39.360095904762673</v>
      </c>
      <c r="T149" s="898">
        <f t="shared" si="100"/>
        <v>12.220095904762672</v>
      </c>
      <c r="U149" s="898">
        <f t="shared" si="101"/>
        <v>4.9390497851551922</v>
      </c>
      <c r="V149" s="898">
        <f t="shared" si="102"/>
        <v>0</v>
      </c>
      <c r="W149" s="945">
        <f t="shared" si="103"/>
        <v>7.5667557010644853</v>
      </c>
      <c r="X149" s="656">
        <f t="shared" si="86"/>
        <v>1</v>
      </c>
      <c r="Y149" s="656">
        <f t="shared" si="86"/>
        <v>1</v>
      </c>
      <c r="Z149" s="656">
        <f t="shared" si="86"/>
        <v>0</v>
      </c>
      <c r="AA149" s="656">
        <f t="shared" si="86"/>
        <v>0</v>
      </c>
      <c r="AB149" s="946">
        <f t="shared" si="86"/>
        <v>1</v>
      </c>
      <c r="AC149" s="1108"/>
      <c r="AD149" s="1029" t="s">
        <v>139</v>
      </c>
      <c r="AE149" s="1030">
        <v>70</v>
      </c>
      <c r="AF149" s="1001"/>
      <c r="AG149" s="1001">
        <f t="shared" si="104"/>
        <v>5</v>
      </c>
      <c r="AH149" s="1024">
        <f t="shared" si="105"/>
        <v>4</v>
      </c>
      <c r="AI149" s="1025">
        <f t="shared" si="106"/>
        <v>4</v>
      </c>
      <c r="AJ149" s="1025">
        <f t="shared" si="107"/>
        <v>1</v>
      </c>
      <c r="AK149" s="1025">
        <f t="shared" si="108"/>
        <v>0</v>
      </c>
      <c r="AL149" s="1026">
        <f t="shared" si="109"/>
        <v>1</v>
      </c>
      <c r="AM149" s="1027">
        <f t="shared" si="93"/>
        <v>0</v>
      </c>
      <c r="AN149" s="1028">
        <f t="shared" si="94"/>
        <v>0.6</v>
      </c>
      <c r="AO149" s="1028">
        <f t="shared" si="95"/>
        <v>0.2</v>
      </c>
      <c r="AP149" s="1028">
        <f t="shared" si="96"/>
        <v>0</v>
      </c>
      <c r="AQ149" s="1008">
        <f t="shared" si="97"/>
        <v>0.2</v>
      </c>
      <c r="AR149" s="1129"/>
      <c r="AS149" s="1129"/>
      <c r="AT149" s="1129"/>
      <c r="AU149" s="1119"/>
      <c r="AV149" s="1119"/>
      <c r="AW149" s="1119"/>
      <c r="AX149" s="1119"/>
      <c r="AY149" s="1119"/>
    </row>
    <row r="150" spans="1:51" ht="15">
      <c r="A150" s="1108"/>
      <c r="B150" s="926" t="s">
        <v>1358</v>
      </c>
      <c r="C150" s="897"/>
      <c r="D150" s="928" t="s">
        <v>1321</v>
      </c>
      <c r="E150" s="928">
        <v>72</v>
      </c>
      <c r="F150" s="968">
        <v>4</v>
      </c>
      <c r="G150" s="965">
        <v>18</v>
      </c>
      <c r="H150" s="942">
        <v>46.543442131983412</v>
      </c>
      <c r="I150" s="943">
        <v>0.82069166666664084</v>
      </c>
      <c r="J150" s="943">
        <v>79.266999999999996</v>
      </c>
      <c r="K150" s="943">
        <v>0.56500000000000006</v>
      </c>
      <c r="L150" s="944">
        <v>0</v>
      </c>
      <c r="M150" s="934">
        <v>16.335040767152996</v>
      </c>
      <c r="N150" s="934">
        <v>0.89967812827865234</v>
      </c>
      <c r="O150" s="934">
        <v>6.7652811045683503</v>
      </c>
      <c r="P150" s="934">
        <v>0</v>
      </c>
      <c r="Q150" s="934">
        <v>0.47596663419067659</v>
      </c>
      <c r="R150" s="935">
        <f t="shared" si="98"/>
        <v>7.3418827516971339</v>
      </c>
      <c r="S150" s="898">
        <f t="shared" si="99"/>
        <v>44.825819803097318</v>
      </c>
      <c r="T150" s="898">
        <f t="shared" si="100"/>
        <v>17.685819803097317</v>
      </c>
      <c r="U150" s="898">
        <f t="shared" si="101"/>
        <v>7.02167503817292</v>
      </c>
      <c r="V150" s="898">
        <f t="shared" si="102"/>
        <v>0</v>
      </c>
      <c r="W150" s="945">
        <f t="shared" si="103"/>
        <v>12.072884331472798</v>
      </c>
      <c r="X150" s="656">
        <f t="shared" si="86"/>
        <v>1</v>
      </c>
      <c r="Y150" s="656">
        <f t="shared" si="86"/>
        <v>1</v>
      </c>
      <c r="Z150" s="656">
        <f t="shared" si="86"/>
        <v>0</v>
      </c>
      <c r="AA150" s="656">
        <f t="shared" si="86"/>
        <v>0</v>
      </c>
      <c r="AB150" s="946">
        <f t="shared" si="86"/>
        <v>1</v>
      </c>
      <c r="AC150" s="1108"/>
      <c r="AD150" s="1029" t="s">
        <v>140</v>
      </c>
      <c r="AE150" s="1030">
        <v>71</v>
      </c>
      <c r="AF150" s="1001"/>
      <c r="AG150" s="1001">
        <f t="shared" si="104"/>
        <v>26</v>
      </c>
      <c r="AH150" s="1024">
        <f t="shared" si="105"/>
        <v>24</v>
      </c>
      <c r="AI150" s="1025">
        <f t="shared" si="106"/>
        <v>14</v>
      </c>
      <c r="AJ150" s="1025">
        <f t="shared" si="107"/>
        <v>1</v>
      </c>
      <c r="AK150" s="1025">
        <f t="shared" si="108"/>
        <v>0</v>
      </c>
      <c r="AL150" s="1026">
        <f t="shared" si="109"/>
        <v>5</v>
      </c>
      <c r="AM150" s="1027">
        <f t="shared" si="93"/>
        <v>0.38461538461538464</v>
      </c>
      <c r="AN150" s="1028">
        <f t="shared" si="94"/>
        <v>0.5</v>
      </c>
      <c r="AO150" s="1028">
        <f t="shared" si="95"/>
        <v>3.8461538461538464E-2</v>
      </c>
      <c r="AP150" s="1028">
        <f t="shared" si="96"/>
        <v>0</v>
      </c>
      <c r="AQ150" s="1008">
        <f t="shared" si="97"/>
        <v>0.19230769230769232</v>
      </c>
      <c r="AR150" s="1129"/>
      <c r="AS150" s="1129"/>
      <c r="AT150" s="1129"/>
      <c r="AU150" s="1119"/>
      <c r="AV150" s="1119"/>
      <c r="AW150" s="1119"/>
      <c r="AX150" s="1119"/>
      <c r="AY150" s="1119"/>
    </row>
    <row r="151" spans="1:51" ht="15">
      <c r="A151" s="1108"/>
      <c r="B151" s="926" t="s">
        <v>1359</v>
      </c>
      <c r="C151" s="897"/>
      <c r="D151" s="928" t="s">
        <v>1321</v>
      </c>
      <c r="E151" s="928">
        <v>72</v>
      </c>
      <c r="F151" s="968">
        <v>4</v>
      </c>
      <c r="G151" s="965">
        <v>18</v>
      </c>
      <c r="H151" s="942">
        <v>29.46805306822041</v>
      </c>
      <c r="I151" s="943">
        <v>1.4169037500000021</v>
      </c>
      <c r="J151" s="943">
        <v>62.9</v>
      </c>
      <c r="K151" s="943">
        <v>0.56500000000000006</v>
      </c>
      <c r="L151" s="944">
        <v>0</v>
      </c>
      <c r="M151" s="934">
        <v>16.335040767152996</v>
      </c>
      <c r="N151" s="934">
        <v>0.89967812827865234</v>
      </c>
      <c r="O151" s="934">
        <v>6.7652811045683503</v>
      </c>
      <c r="P151" s="934">
        <v>0</v>
      </c>
      <c r="Q151" s="934">
        <v>0.47596663419067659</v>
      </c>
      <c r="R151" s="935">
        <f t="shared" si="98"/>
        <v>8.5338518782477308</v>
      </c>
      <c r="S151" s="898">
        <f t="shared" si="99"/>
        <v>40.828471223270398</v>
      </c>
      <c r="T151" s="898">
        <f t="shared" si="100"/>
        <v>13.688471223270398</v>
      </c>
      <c r="U151" s="898">
        <f t="shared" si="101"/>
        <v>5.4985503336852606</v>
      </c>
      <c r="V151" s="898">
        <f t="shared" si="102"/>
        <v>0</v>
      </c>
      <c r="W151" s="945">
        <f t="shared" si="103"/>
        <v>8.777334242166539</v>
      </c>
      <c r="X151" s="656">
        <f t="shared" si="86"/>
        <v>1</v>
      </c>
      <c r="Y151" s="656">
        <f t="shared" si="86"/>
        <v>1</v>
      </c>
      <c r="Z151" s="656">
        <f t="shared" si="86"/>
        <v>0</v>
      </c>
      <c r="AA151" s="656">
        <f t="shared" si="86"/>
        <v>0</v>
      </c>
      <c r="AB151" s="946">
        <f t="shared" si="86"/>
        <v>1</v>
      </c>
      <c r="AC151" s="1108"/>
      <c r="AD151" s="1029" t="s">
        <v>1360</v>
      </c>
      <c r="AE151" s="1030">
        <v>71</v>
      </c>
      <c r="AF151" s="1001">
        <v>3</v>
      </c>
      <c r="AG151" s="1001">
        <f>COUNTIFS(Application_num_bc,AE151,PC_num_BC,AF151)</f>
        <v>12</v>
      </c>
      <c r="AH151" s="1024">
        <f>SUMIFS(Check0_BC,Application_num_bc,$AE151,PC_num_BC,$AF151)</f>
        <v>10</v>
      </c>
      <c r="AI151" s="1025">
        <f>SUMIFS(Check1_BC,Application_num_bc,$AE151,PC_num_BC,$AF151)</f>
        <v>7</v>
      </c>
      <c r="AJ151" s="1025">
        <f>SUMIFS(Check2_BC,Application_num_bc,$AE151,PC_num_BC,$AF151)</f>
        <v>0</v>
      </c>
      <c r="AK151" s="1025">
        <f>SUMIFS(Check3_BC,Application_num_bc,$AE151,PC_num_BC,$AF151)</f>
        <v>0</v>
      </c>
      <c r="AL151" s="1026">
        <f>SUMIFS(Check_PGE_bc,Application_num_bc,$AE151,PC_num_BC,$AF151)</f>
        <v>2</v>
      </c>
      <c r="AM151" s="1027">
        <f t="shared" si="93"/>
        <v>0.25</v>
      </c>
      <c r="AN151" s="1028">
        <f t="shared" si="94"/>
        <v>0.58333333333333337</v>
      </c>
      <c r="AO151" s="1028">
        <f t="shared" si="95"/>
        <v>0</v>
      </c>
      <c r="AP151" s="1028">
        <f t="shared" si="96"/>
        <v>0</v>
      </c>
      <c r="AQ151" s="1008">
        <f t="shared" si="97"/>
        <v>0.16666666666666666</v>
      </c>
      <c r="AR151" s="1129"/>
      <c r="AS151" s="1129"/>
      <c r="AT151" s="1129"/>
      <c r="AU151" s="1119"/>
      <c r="AV151" s="1119"/>
      <c r="AW151" s="1119"/>
      <c r="AX151" s="1119"/>
      <c r="AY151" s="1119"/>
    </row>
    <row r="152" spans="1:51" ht="15">
      <c r="A152" s="1108"/>
      <c r="B152" s="926" t="s">
        <v>1361</v>
      </c>
      <c r="C152" s="897"/>
      <c r="D152" s="928" t="s">
        <v>1321</v>
      </c>
      <c r="E152" s="928">
        <v>72</v>
      </c>
      <c r="F152" s="968">
        <v>4</v>
      </c>
      <c r="G152" s="965">
        <v>18</v>
      </c>
      <c r="H152" s="942">
        <v>20.574398673113013</v>
      </c>
      <c r="I152" s="943">
        <v>0.27712083333332049</v>
      </c>
      <c r="J152" s="943">
        <v>38.441000000000003</v>
      </c>
      <c r="K152" s="943">
        <v>0.27766666666666667</v>
      </c>
      <c r="L152" s="944">
        <v>0</v>
      </c>
      <c r="M152" s="934">
        <v>16.335040767152996</v>
      </c>
      <c r="N152" s="934">
        <v>0.89967812827865234</v>
      </c>
      <c r="O152" s="934">
        <v>6.7652811045683503</v>
      </c>
      <c r="P152" s="934">
        <v>0</v>
      </c>
      <c r="Q152" s="934">
        <v>0.47596663419067659</v>
      </c>
      <c r="R152" s="935">
        <f t="shared" si="98"/>
        <v>3.6919349768468779</v>
      </c>
      <c r="S152" s="898">
        <f t="shared" si="99"/>
        <v>38.746466729375754</v>
      </c>
      <c r="T152" s="898">
        <f t="shared" si="100"/>
        <v>11.606466729375757</v>
      </c>
      <c r="U152" s="898">
        <f t="shared" si="101"/>
        <v>4.7052363616416812</v>
      </c>
      <c r="V152" s="898">
        <f t="shared" si="102"/>
        <v>0</v>
      </c>
      <c r="W152" s="945">
        <f t="shared" si="103"/>
        <v>7.0608589439108114</v>
      </c>
      <c r="X152" s="656">
        <f t="shared" si="86"/>
        <v>1</v>
      </c>
      <c r="Y152" s="656">
        <f t="shared" si="86"/>
        <v>1</v>
      </c>
      <c r="Z152" s="656">
        <f t="shared" si="86"/>
        <v>1</v>
      </c>
      <c r="AA152" s="656">
        <f t="shared" si="86"/>
        <v>0</v>
      </c>
      <c r="AB152" s="946">
        <f t="shared" si="86"/>
        <v>1</v>
      </c>
      <c r="AC152" s="1108"/>
      <c r="AD152" s="1029" t="s">
        <v>1362</v>
      </c>
      <c r="AE152" s="1030">
        <v>71</v>
      </c>
      <c r="AF152" s="1001">
        <v>4</v>
      </c>
      <c r="AG152" s="1001">
        <f>COUNTIFS(Application_num_bc,AE152,PC_num_BC,AF152)</f>
        <v>14</v>
      </c>
      <c r="AH152" s="1024">
        <f>SUMIFS(Check0_BC,Application_num_bc,$AE152,PC_num_BC,$AF152)</f>
        <v>14</v>
      </c>
      <c r="AI152" s="1025">
        <f>SUMIFS(Check1_BC,Application_num_bc,$AE152,PC_num_BC,$AF152)</f>
        <v>7</v>
      </c>
      <c r="AJ152" s="1025">
        <f>SUMIFS(Check2_BC,Application_num_bc,$AE152,PC_num_BC,$AF152)</f>
        <v>1</v>
      </c>
      <c r="AK152" s="1025">
        <f>SUMIFS(Check3_BC,Application_num_bc,$AE152,PC_num_BC,$AF152)</f>
        <v>0</v>
      </c>
      <c r="AL152" s="1026">
        <f>SUMIFS(Check_PGE_bc,Application_num_bc,$AE152,PC_num_BC,$AF152)</f>
        <v>3</v>
      </c>
      <c r="AM152" s="1027">
        <f t="shared" si="93"/>
        <v>0.5</v>
      </c>
      <c r="AN152" s="1028">
        <f t="shared" si="94"/>
        <v>0.42857142857142855</v>
      </c>
      <c r="AO152" s="1028">
        <f t="shared" si="95"/>
        <v>7.1428571428571425E-2</v>
      </c>
      <c r="AP152" s="1028">
        <f t="shared" si="96"/>
        <v>0</v>
      </c>
      <c r="AQ152" s="1008">
        <f t="shared" si="97"/>
        <v>0.21428571428571427</v>
      </c>
      <c r="AR152" s="1129"/>
      <c r="AS152" s="1129"/>
      <c r="AT152" s="1129"/>
      <c r="AU152" s="1119"/>
      <c r="AV152" s="1119"/>
      <c r="AW152" s="1119"/>
      <c r="AX152" s="1119"/>
      <c r="AY152" s="1119"/>
    </row>
    <row r="153" spans="1:51" ht="15">
      <c r="A153" s="1108"/>
      <c r="B153" s="926" t="s">
        <v>1363</v>
      </c>
      <c r="C153" s="897"/>
      <c r="D153" s="928" t="s">
        <v>1321</v>
      </c>
      <c r="E153" s="928">
        <v>72</v>
      </c>
      <c r="F153" s="968">
        <v>4</v>
      </c>
      <c r="G153" s="965">
        <v>18</v>
      </c>
      <c r="H153" s="942">
        <v>23.834932978226298</v>
      </c>
      <c r="I153" s="943">
        <v>0.28601249999999162</v>
      </c>
      <c r="J153" s="943">
        <v>39.066200000003377</v>
      </c>
      <c r="K153" s="943">
        <v>0.27766666666666667</v>
      </c>
      <c r="L153" s="944">
        <v>0</v>
      </c>
      <c r="M153" s="934">
        <v>16.335040767152996</v>
      </c>
      <c r="N153" s="934">
        <v>0.89967812827865234</v>
      </c>
      <c r="O153" s="934">
        <v>6.7652811045683503</v>
      </c>
      <c r="P153" s="934">
        <v>0</v>
      </c>
      <c r="Q153" s="934">
        <v>0.47596663419067659</v>
      </c>
      <c r="R153" s="935">
        <f t="shared" si="98"/>
        <v>3.2500452662290433</v>
      </c>
      <c r="S153" s="898">
        <f t="shared" si="99"/>
        <v>39.509757810202778</v>
      </c>
      <c r="T153" s="898">
        <f t="shared" si="100"/>
        <v>12.369757810202778</v>
      </c>
      <c r="U153" s="898">
        <f t="shared" si="101"/>
        <v>4.9960760216577853</v>
      </c>
      <c r="V153" s="898">
        <f t="shared" si="102"/>
        <v>0</v>
      </c>
      <c r="W153" s="945">
        <f t="shared" si="103"/>
        <v>7.6901420647976755</v>
      </c>
      <c r="X153" s="656">
        <f t="shared" si="86"/>
        <v>1</v>
      </c>
      <c r="Y153" s="656">
        <f t="shared" si="86"/>
        <v>1</v>
      </c>
      <c r="Z153" s="656">
        <f t="shared" si="86"/>
        <v>1</v>
      </c>
      <c r="AA153" s="656">
        <f t="shared" si="86"/>
        <v>0</v>
      </c>
      <c r="AB153" s="946">
        <f t="shared" si="86"/>
        <v>1</v>
      </c>
      <c r="AC153" s="1108"/>
      <c r="AD153" s="1029" t="s">
        <v>141</v>
      </c>
      <c r="AE153" s="1030">
        <v>72</v>
      </c>
      <c r="AF153" s="1001"/>
      <c r="AG153" s="1001">
        <f t="shared" ref="AG153:AG161" si="110">COUNTIF(Application_num_bc,AE153)</f>
        <v>19</v>
      </c>
      <c r="AH153" s="1024">
        <f t="shared" ref="AH153:AH161" si="111">SUMIFS(Check0_BC,Application_num_bc,$AE153)</f>
        <v>18</v>
      </c>
      <c r="AI153" s="1025">
        <f t="shared" ref="AI153:AI161" si="112">SUMIFS(Check1_BC,Application_num_bc,$AE153)</f>
        <v>15</v>
      </c>
      <c r="AJ153" s="1025">
        <f t="shared" ref="AJ153:AJ161" si="113">SUMIFS(Check2_BC,Application_num_bc,$AE153)</f>
        <v>4</v>
      </c>
      <c r="AK153" s="1025">
        <f t="shared" ref="AK153:AK161" si="114">SUMIFS(Check3_BC,Application_num_bc,$AE153)</f>
        <v>0</v>
      </c>
      <c r="AL153" s="1026">
        <f t="shared" ref="AL153:AL161" si="115">SUMIFS(Check_PGE_bc,Application_num_bc,$AE153)</f>
        <v>10</v>
      </c>
      <c r="AM153" s="1027">
        <f t="shared" si="93"/>
        <v>0.15789473684210525</v>
      </c>
      <c r="AN153" s="1028">
        <f t="shared" si="94"/>
        <v>0.57894736842105265</v>
      </c>
      <c r="AO153" s="1028">
        <f t="shared" si="95"/>
        <v>0.21052631578947367</v>
      </c>
      <c r="AP153" s="1028">
        <f t="shared" si="96"/>
        <v>0</v>
      </c>
      <c r="AQ153" s="1008">
        <f t="shared" si="97"/>
        <v>0.52631578947368418</v>
      </c>
      <c r="AR153" s="1129"/>
      <c r="AS153" s="1129"/>
      <c r="AT153" s="1129"/>
      <c r="AU153" s="1119"/>
      <c r="AV153" s="1119"/>
      <c r="AW153" s="1119"/>
      <c r="AX153" s="1119"/>
      <c r="AY153" s="1119"/>
    </row>
    <row r="154" spans="1:51" ht="15">
      <c r="A154" s="1108"/>
      <c r="B154" s="926" t="s">
        <v>1364</v>
      </c>
      <c r="C154" s="897"/>
      <c r="D154" s="928" t="s">
        <v>1321</v>
      </c>
      <c r="E154" s="928">
        <v>72</v>
      </c>
      <c r="F154" s="968">
        <v>4</v>
      </c>
      <c r="G154" s="965">
        <v>18</v>
      </c>
      <c r="H154" s="942">
        <v>18.250593633020117</v>
      </c>
      <c r="I154" s="943">
        <v>0.53312499999998275</v>
      </c>
      <c r="J154" s="943">
        <v>43.32</v>
      </c>
      <c r="K154" s="943">
        <v>0.32466666666666666</v>
      </c>
      <c r="L154" s="944">
        <v>0</v>
      </c>
      <c r="M154" s="934">
        <v>16.335040767152996</v>
      </c>
      <c r="N154" s="934">
        <v>0.89967812827865234</v>
      </c>
      <c r="O154" s="934">
        <v>6.7652811045683503</v>
      </c>
      <c r="P154" s="934">
        <v>0</v>
      </c>
      <c r="Q154" s="934">
        <v>0.47596663419067659</v>
      </c>
      <c r="R154" s="935">
        <f t="shared" si="98"/>
        <v>5.4176665274995734</v>
      </c>
      <c r="S154" s="898">
        <f t="shared" si="99"/>
        <v>38.202463969490012</v>
      </c>
      <c r="T154" s="898">
        <f t="shared" si="100"/>
        <v>11.062463969490009</v>
      </c>
      <c r="U154" s="898">
        <f t="shared" si="101"/>
        <v>4.4979529520653942</v>
      </c>
      <c r="V154" s="898">
        <f t="shared" si="102"/>
        <v>0</v>
      </c>
      <c r="W154" s="945">
        <f t="shared" si="103"/>
        <v>6.6123645711728827</v>
      </c>
      <c r="X154" s="656">
        <f t="shared" si="86"/>
        <v>1</v>
      </c>
      <c r="Y154" s="656">
        <f t="shared" si="86"/>
        <v>1</v>
      </c>
      <c r="Z154" s="656">
        <f t="shared" si="86"/>
        <v>0</v>
      </c>
      <c r="AA154" s="656">
        <f t="shared" si="86"/>
        <v>0</v>
      </c>
      <c r="AB154" s="946">
        <f t="shared" si="86"/>
        <v>1</v>
      </c>
      <c r="AC154" s="1108"/>
      <c r="AD154" s="1029" t="s">
        <v>172</v>
      </c>
      <c r="AE154" s="1030">
        <v>73</v>
      </c>
      <c r="AF154" s="1001"/>
      <c r="AG154" s="1001">
        <f t="shared" si="110"/>
        <v>0</v>
      </c>
      <c r="AH154" s="1024">
        <f t="shared" si="111"/>
        <v>0</v>
      </c>
      <c r="AI154" s="1025">
        <f t="shared" si="112"/>
        <v>0</v>
      </c>
      <c r="AJ154" s="1025">
        <f t="shared" si="113"/>
        <v>0</v>
      </c>
      <c r="AK154" s="1025">
        <f t="shared" si="114"/>
        <v>0</v>
      </c>
      <c r="AL154" s="1026">
        <f t="shared" si="115"/>
        <v>0</v>
      </c>
      <c r="AM154" s="1027" t="str">
        <f t="shared" si="93"/>
        <v>-</v>
      </c>
      <c r="AN154" s="1028" t="str">
        <f t="shared" si="94"/>
        <v>-</v>
      </c>
      <c r="AO154" s="1028" t="str">
        <f t="shared" si="95"/>
        <v>-</v>
      </c>
      <c r="AP154" s="1028" t="str">
        <f t="shared" si="96"/>
        <v>-</v>
      </c>
      <c r="AQ154" s="1008" t="str">
        <f t="shared" si="97"/>
        <v>-</v>
      </c>
      <c r="AR154" s="1129"/>
      <c r="AS154" s="1129"/>
      <c r="AT154" s="1129"/>
      <c r="AU154" s="1119"/>
      <c r="AV154" s="1119"/>
      <c r="AW154" s="1119"/>
      <c r="AX154" s="1119"/>
      <c r="AY154" s="1119"/>
    </row>
    <row r="155" spans="1:51" ht="15">
      <c r="A155" s="1109"/>
      <c r="B155" s="926" t="s">
        <v>1365</v>
      </c>
      <c r="C155" s="897"/>
      <c r="D155" s="928" t="s">
        <v>1321</v>
      </c>
      <c r="E155" s="928">
        <v>72</v>
      </c>
      <c r="F155" s="968">
        <v>4</v>
      </c>
      <c r="G155" s="965">
        <v>18</v>
      </c>
      <c r="H155" s="942">
        <v>19.122974362916285</v>
      </c>
      <c r="I155" s="943">
        <v>0.52937499999999826</v>
      </c>
      <c r="J155" s="943">
        <v>43.427999999999997</v>
      </c>
      <c r="K155" s="943">
        <v>0.32466666666666666</v>
      </c>
      <c r="L155" s="944">
        <v>0</v>
      </c>
      <c r="M155" s="934">
        <v>16.335040767152996</v>
      </c>
      <c r="N155" s="934">
        <v>0.89967812827865234</v>
      </c>
      <c r="O155" s="934">
        <v>6.7652811045683503</v>
      </c>
      <c r="P155" s="934">
        <v>0</v>
      </c>
      <c r="Q155" s="934">
        <v>0.47596663419067659</v>
      </c>
      <c r="R155" s="935">
        <f t="shared" si="98"/>
        <v>5.2781492453968788</v>
      </c>
      <c r="S155" s="898">
        <f t="shared" si="99"/>
        <v>38.406688298358702</v>
      </c>
      <c r="T155" s="898">
        <f t="shared" si="100"/>
        <v>11.266688298358702</v>
      </c>
      <c r="U155" s="898">
        <f t="shared" si="101"/>
        <v>4.5757693131721329</v>
      </c>
      <c r="V155" s="898">
        <f t="shared" si="102"/>
        <v>0</v>
      </c>
      <c r="W155" s="945">
        <f t="shared" si="103"/>
        <v>6.7807340520428427</v>
      </c>
      <c r="X155" s="656">
        <f t="shared" si="86"/>
        <v>1</v>
      </c>
      <c r="Y155" s="656">
        <f t="shared" si="86"/>
        <v>1</v>
      </c>
      <c r="Z155" s="656">
        <f t="shared" si="86"/>
        <v>0</v>
      </c>
      <c r="AA155" s="656">
        <f t="shared" si="86"/>
        <v>0</v>
      </c>
      <c r="AB155" s="946">
        <f t="shared" si="86"/>
        <v>1</v>
      </c>
      <c r="AC155" s="1108"/>
      <c r="AD155" s="1029" t="s">
        <v>142</v>
      </c>
      <c r="AE155" s="1030">
        <v>74</v>
      </c>
      <c r="AF155" s="1001"/>
      <c r="AG155" s="1001">
        <f t="shared" si="110"/>
        <v>0</v>
      </c>
      <c r="AH155" s="1024">
        <f t="shared" si="111"/>
        <v>0</v>
      </c>
      <c r="AI155" s="1025">
        <f t="shared" si="112"/>
        <v>0</v>
      </c>
      <c r="AJ155" s="1025">
        <f t="shared" si="113"/>
        <v>0</v>
      </c>
      <c r="AK155" s="1025">
        <f t="shared" si="114"/>
        <v>0</v>
      </c>
      <c r="AL155" s="1026">
        <f t="shared" si="115"/>
        <v>0</v>
      </c>
      <c r="AM155" s="1027" t="str">
        <f t="shared" si="93"/>
        <v>-</v>
      </c>
      <c r="AN155" s="1028" t="str">
        <f t="shared" si="94"/>
        <v>-</v>
      </c>
      <c r="AO155" s="1028" t="str">
        <f t="shared" si="95"/>
        <v>-</v>
      </c>
      <c r="AP155" s="1028" t="str">
        <f t="shared" si="96"/>
        <v>-</v>
      </c>
      <c r="AQ155" s="1008" t="str">
        <f t="shared" si="97"/>
        <v>-</v>
      </c>
      <c r="AR155" s="1129"/>
      <c r="AS155" s="1129"/>
      <c r="AT155" s="1129"/>
      <c r="AU155" s="1119"/>
      <c r="AV155" s="1119"/>
      <c r="AW155" s="1119"/>
      <c r="AX155" s="1119"/>
      <c r="AY155" s="1119"/>
    </row>
    <row r="156" spans="1:51" ht="15">
      <c r="A156" s="1109"/>
      <c r="B156" s="961">
        <v>9</v>
      </c>
      <c r="C156" s="927"/>
      <c r="D156" s="928" t="s">
        <v>1325</v>
      </c>
      <c r="E156" s="928">
        <v>70</v>
      </c>
      <c r="F156" s="929">
        <v>4</v>
      </c>
      <c r="G156" s="930">
        <v>10.8</v>
      </c>
      <c r="H156" s="942">
        <v>11.78215</v>
      </c>
      <c r="I156" s="943">
        <v>1.1486609999999999</v>
      </c>
      <c r="J156" s="943">
        <v>49.102339999999998</v>
      </c>
      <c r="K156" s="943">
        <v>1.11297</v>
      </c>
      <c r="L156" s="944">
        <v>0</v>
      </c>
      <c r="M156" s="934">
        <v>16.335040767152996</v>
      </c>
      <c r="N156" s="934">
        <v>0.89967812827865234</v>
      </c>
      <c r="O156" s="934">
        <v>6.7652811045683503</v>
      </c>
      <c r="P156" s="934">
        <v>0</v>
      </c>
      <c r="Q156" s="934">
        <v>0.47596663419067659</v>
      </c>
      <c r="R156" s="935">
        <f t="shared" si="98"/>
        <v>8.9083800959490222</v>
      </c>
      <c r="S156" s="898">
        <f t="shared" si="99"/>
        <v>36.688201315000001</v>
      </c>
      <c r="T156" s="898">
        <f t="shared" si="100"/>
        <v>9.548201315</v>
      </c>
      <c r="U156" s="898">
        <f t="shared" si="101"/>
        <v>3.9209677799999998</v>
      </c>
      <c r="V156" s="898">
        <f t="shared" si="102"/>
        <v>0</v>
      </c>
      <c r="W156" s="945">
        <f t="shared" si="103"/>
        <v>5.3639549500000001</v>
      </c>
      <c r="X156" s="656">
        <f t="shared" si="86"/>
        <v>1</v>
      </c>
      <c r="Y156" s="656">
        <f t="shared" si="86"/>
        <v>1</v>
      </c>
      <c r="Z156" s="656">
        <f t="shared" si="86"/>
        <v>0</v>
      </c>
      <c r="AA156" s="656">
        <f t="shared" si="86"/>
        <v>0</v>
      </c>
      <c r="AB156" s="946">
        <f t="shared" si="86"/>
        <v>0</v>
      </c>
      <c r="AC156" s="1108"/>
      <c r="AD156" s="1029" t="s">
        <v>143</v>
      </c>
      <c r="AE156" s="1030">
        <v>75</v>
      </c>
      <c r="AF156" s="1001"/>
      <c r="AG156" s="1001">
        <f t="shared" si="110"/>
        <v>2</v>
      </c>
      <c r="AH156" s="1024">
        <f t="shared" si="111"/>
        <v>1</v>
      </c>
      <c r="AI156" s="1025">
        <f t="shared" si="112"/>
        <v>1</v>
      </c>
      <c r="AJ156" s="1025">
        <f t="shared" si="113"/>
        <v>0</v>
      </c>
      <c r="AK156" s="1025">
        <f t="shared" si="114"/>
        <v>0</v>
      </c>
      <c r="AL156" s="1026">
        <f t="shared" si="115"/>
        <v>0</v>
      </c>
      <c r="AM156" s="1027">
        <f t="shared" si="93"/>
        <v>0</v>
      </c>
      <c r="AN156" s="1028">
        <f t="shared" si="94"/>
        <v>0.5</v>
      </c>
      <c r="AO156" s="1028">
        <f t="shared" si="95"/>
        <v>0</v>
      </c>
      <c r="AP156" s="1028">
        <f t="shared" si="96"/>
        <v>0</v>
      </c>
      <c r="AQ156" s="1008">
        <f t="shared" si="97"/>
        <v>0</v>
      </c>
      <c r="AR156" s="1129"/>
      <c r="AS156" s="1129"/>
      <c r="AT156" s="1129"/>
      <c r="AU156" s="1119"/>
      <c r="AV156" s="1119"/>
      <c r="AW156" s="1119"/>
      <c r="AX156" s="1119"/>
      <c r="AY156" s="1119"/>
    </row>
    <row r="157" spans="1:51" ht="15">
      <c r="A157" s="1109"/>
      <c r="B157" s="965" t="s">
        <v>1366</v>
      </c>
      <c r="C157" s="966"/>
      <c r="D157" s="967" t="s">
        <v>1367</v>
      </c>
      <c r="E157" s="967">
        <v>12</v>
      </c>
      <c r="F157" s="968">
        <v>4</v>
      </c>
      <c r="G157" s="965">
        <v>11.1</v>
      </c>
      <c r="H157" s="958">
        <v>22.895297122221777</v>
      </c>
      <c r="I157" s="959">
        <v>0.55049999999999955</v>
      </c>
      <c r="J157" s="959">
        <v>44.555999999999983</v>
      </c>
      <c r="K157" s="959">
        <v>0.11700000000000001</v>
      </c>
      <c r="L157" s="944">
        <v>0</v>
      </c>
      <c r="M157" s="934">
        <v>16.335040767152996</v>
      </c>
      <c r="N157" s="934">
        <v>0.89967812827865234</v>
      </c>
      <c r="O157" s="934">
        <v>6.7652811045683503</v>
      </c>
      <c r="P157" s="934">
        <v>0</v>
      </c>
      <c r="Q157" s="934">
        <v>0.47596663419067659</v>
      </c>
      <c r="R157" s="935">
        <f t="shared" si="98"/>
        <v>4.7884360786989175</v>
      </c>
      <c r="S157" s="898">
        <f t="shared" si="99"/>
        <v>39.289789056312117</v>
      </c>
      <c r="T157" s="898">
        <f t="shared" si="100"/>
        <v>12.149789056312118</v>
      </c>
      <c r="U157" s="898">
        <f t="shared" si="101"/>
        <v>4.912260503302182</v>
      </c>
      <c r="V157" s="898">
        <f t="shared" si="102"/>
        <v>0</v>
      </c>
      <c r="W157" s="945">
        <f t="shared" si="103"/>
        <v>7.5087923445888025</v>
      </c>
      <c r="X157" s="656">
        <f t="shared" si="86"/>
        <v>1</v>
      </c>
      <c r="Y157" s="656">
        <f t="shared" si="86"/>
        <v>1</v>
      </c>
      <c r="Z157" s="656">
        <f t="shared" si="86"/>
        <v>1</v>
      </c>
      <c r="AA157" s="656">
        <f t="shared" si="86"/>
        <v>0</v>
      </c>
      <c r="AB157" s="946">
        <f t="shared" si="86"/>
        <v>1</v>
      </c>
      <c r="AC157" s="1108"/>
      <c r="AD157" s="1029" t="s">
        <v>144</v>
      </c>
      <c r="AE157" s="1030">
        <v>76</v>
      </c>
      <c r="AF157" s="1001"/>
      <c r="AG157" s="1001">
        <f t="shared" si="110"/>
        <v>1</v>
      </c>
      <c r="AH157" s="1024">
        <f t="shared" si="111"/>
        <v>1</v>
      </c>
      <c r="AI157" s="1025">
        <f t="shared" si="112"/>
        <v>1</v>
      </c>
      <c r="AJ157" s="1025">
        <f t="shared" si="113"/>
        <v>0</v>
      </c>
      <c r="AK157" s="1025">
        <f t="shared" si="114"/>
        <v>0</v>
      </c>
      <c r="AL157" s="1026">
        <f t="shared" si="115"/>
        <v>0</v>
      </c>
      <c r="AM157" s="1027">
        <f t="shared" si="93"/>
        <v>0</v>
      </c>
      <c r="AN157" s="1028">
        <f t="shared" si="94"/>
        <v>1</v>
      </c>
      <c r="AO157" s="1028">
        <f t="shared" si="95"/>
        <v>0</v>
      </c>
      <c r="AP157" s="1028">
        <f t="shared" si="96"/>
        <v>0</v>
      </c>
      <c r="AQ157" s="1008">
        <f t="shared" si="97"/>
        <v>0</v>
      </c>
      <c r="AR157" s="1129"/>
      <c r="AS157" s="1129"/>
      <c r="AT157" s="1129"/>
      <c r="AU157" s="1119"/>
      <c r="AV157" s="1119"/>
      <c r="AW157" s="1119"/>
      <c r="AX157" s="1119"/>
      <c r="AY157" s="1119"/>
    </row>
    <row r="158" spans="1:51" ht="15">
      <c r="A158" s="1109"/>
      <c r="B158" s="957" t="s">
        <v>1368</v>
      </c>
      <c r="C158" s="927"/>
      <c r="D158" s="967" t="s">
        <v>1367</v>
      </c>
      <c r="E158" s="967">
        <v>12</v>
      </c>
      <c r="F158" s="929">
        <v>4</v>
      </c>
      <c r="G158" s="930">
        <v>11.1</v>
      </c>
      <c r="H158" s="958">
        <v>47.770582999998652</v>
      </c>
      <c r="I158" s="959">
        <v>1.1684999999999981</v>
      </c>
      <c r="J158" s="959">
        <v>88.515524999999968</v>
      </c>
      <c r="K158" s="959">
        <v>0.28599999999999998</v>
      </c>
      <c r="L158" s="944">
        <v>0</v>
      </c>
      <c r="M158" s="934">
        <v>16.335040767152996</v>
      </c>
      <c r="N158" s="934">
        <v>0.89967812827865234</v>
      </c>
      <c r="O158" s="934">
        <v>6.7652811045683503</v>
      </c>
      <c r="P158" s="934">
        <v>0</v>
      </c>
      <c r="Q158" s="934">
        <v>0.47596663419067659</v>
      </c>
      <c r="R158" s="935">
        <f t="shared" si="98"/>
        <v>9.2673601090026185</v>
      </c>
      <c r="S158" s="898">
        <f t="shared" si="99"/>
        <v>45.113093480299682</v>
      </c>
      <c r="T158" s="898">
        <f t="shared" si="100"/>
        <v>17.973093480299685</v>
      </c>
      <c r="U158" s="898">
        <f t="shared" si="101"/>
        <v>7.1311360035998801</v>
      </c>
      <c r="V158" s="898">
        <f t="shared" si="102"/>
        <v>0</v>
      </c>
      <c r="W158" s="945">
        <f t="shared" si="103"/>
        <v>12.30972251899974</v>
      </c>
      <c r="X158" s="656">
        <f t="shared" si="86"/>
        <v>1</v>
      </c>
      <c r="Y158" s="656">
        <f t="shared" si="86"/>
        <v>1</v>
      </c>
      <c r="Z158" s="656">
        <f t="shared" si="86"/>
        <v>0</v>
      </c>
      <c r="AA158" s="656">
        <f t="shared" si="86"/>
        <v>0</v>
      </c>
      <c r="AB158" s="946">
        <f t="shared" si="86"/>
        <v>1</v>
      </c>
      <c r="AC158" s="1108"/>
      <c r="AD158" s="1029" t="s">
        <v>233</v>
      </c>
      <c r="AE158" s="1030">
        <v>77</v>
      </c>
      <c r="AF158" s="1001"/>
      <c r="AG158" s="1001">
        <f t="shared" si="110"/>
        <v>6</v>
      </c>
      <c r="AH158" s="1024">
        <f t="shared" si="111"/>
        <v>3</v>
      </c>
      <c r="AI158" s="1025">
        <f t="shared" si="112"/>
        <v>1</v>
      </c>
      <c r="AJ158" s="1025">
        <f t="shared" si="113"/>
        <v>0</v>
      </c>
      <c r="AK158" s="1025">
        <f t="shared" si="114"/>
        <v>0</v>
      </c>
      <c r="AL158" s="1026">
        <f t="shared" si="115"/>
        <v>0</v>
      </c>
      <c r="AM158" s="1027">
        <f t="shared" si="93"/>
        <v>0.33333333333333331</v>
      </c>
      <c r="AN158" s="1028">
        <f t="shared" si="94"/>
        <v>0.16666666666666666</v>
      </c>
      <c r="AO158" s="1028">
        <f t="shared" si="95"/>
        <v>0</v>
      </c>
      <c r="AP158" s="1028">
        <f t="shared" si="96"/>
        <v>0</v>
      </c>
      <c r="AQ158" s="1008">
        <f t="shared" si="97"/>
        <v>0</v>
      </c>
      <c r="AR158" s="1129"/>
      <c r="AS158" s="1129"/>
      <c r="AT158" s="1129"/>
      <c r="AU158" s="1119"/>
      <c r="AV158" s="1119"/>
      <c r="AW158" s="1119"/>
      <c r="AX158" s="1119"/>
      <c r="AY158" s="1119"/>
    </row>
    <row r="159" spans="1:51" ht="15">
      <c r="A159" s="1109"/>
      <c r="B159" s="957" t="s">
        <v>1369</v>
      </c>
      <c r="C159" s="927"/>
      <c r="D159" s="967" t="s">
        <v>1367</v>
      </c>
      <c r="E159" s="967">
        <v>12</v>
      </c>
      <c r="F159" s="929">
        <v>4</v>
      </c>
      <c r="G159" s="930">
        <v>11.1</v>
      </c>
      <c r="H159" s="958">
        <v>55.332501388889114</v>
      </c>
      <c r="I159" s="959">
        <v>0.45075000000000287</v>
      </c>
      <c r="J159" s="959">
        <v>83.578862500000071</v>
      </c>
      <c r="K159" s="959">
        <v>0.22</v>
      </c>
      <c r="L159" s="944">
        <v>0</v>
      </c>
      <c r="M159" s="934">
        <v>16.335040767152996</v>
      </c>
      <c r="N159" s="934">
        <v>0.89967812827865234</v>
      </c>
      <c r="O159" s="934">
        <v>6.7652811045683503</v>
      </c>
      <c r="P159" s="934">
        <v>0</v>
      </c>
      <c r="Q159" s="934">
        <v>0.47596663419067659</v>
      </c>
      <c r="R159" s="935">
        <f t="shared" si="98"/>
        <v>5.7875375249087027</v>
      </c>
      <c r="S159" s="898">
        <f t="shared" si="99"/>
        <v>46.883338575138943</v>
      </c>
      <c r="T159" s="898">
        <f t="shared" si="100"/>
        <v>19.743338575138942</v>
      </c>
      <c r="U159" s="898">
        <f t="shared" si="101"/>
        <v>7.8056591238889093</v>
      </c>
      <c r="V159" s="898">
        <f t="shared" si="102"/>
        <v>0</v>
      </c>
      <c r="W159" s="945">
        <f t="shared" si="103"/>
        <v>13.769172768055599</v>
      </c>
      <c r="X159" s="656">
        <f t="shared" ref="X159:AB209" si="116">IF($R159&lt;=S159,1,0)</f>
        <v>1</v>
      </c>
      <c r="Y159" s="656">
        <f t="shared" si="116"/>
        <v>1</v>
      </c>
      <c r="Z159" s="656">
        <f t="shared" si="116"/>
        <v>1</v>
      </c>
      <c r="AA159" s="656">
        <f t="shared" si="116"/>
        <v>0</v>
      </c>
      <c r="AB159" s="946">
        <f t="shared" si="116"/>
        <v>1</v>
      </c>
      <c r="AC159" s="1108"/>
      <c r="AD159" s="1029" t="s">
        <v>234</v>
      </c>
      <c r="AE159" s="1030">
        <v>78</v>
      </c>
      <c r="AF159" s="1001"/>
      <c r="AG159" s="1001">
        <f t="shared" si="110"/>
        <v>0</v>
      </c>
      <c r="AH159" s="1024">
        <f t="shared" si="111"/>
        <v>0</v>
      </c>
      <c r="AI159" s="1025">
        <f t="shared" si="112"/>
        <v>0</v>
      </c>
      <c r="AJ159" s="1025">
        <f t="shared" si="113"/>
        <v>0</v>
      </c>
      <c r="AK159" s="1025">
        <f t="shared" si="114"/>
        <v>0</v>
      </c>
      <c r="AL159" s="1026">
        <f t="shared" si="115"/>
        <v>0</v>
      </c>
      <c r="AM159" s="1027" t="str">
        <f t="shared" si="93"/>
        <v>-</v>
      </c>
      <c r="AN159" s="1028" t="str">
        <f t="shared" si="94"/>
        <v>-</v>
      </c>
      <c r="AO159" s="1028" t="str">
        <f t="shared" si="95"/>
        <v>-</v>
      </c>
      <c r="AP159" s="1028" t="str">
        <f t="shared" si="96"/>
        <v>-</v>
      </c>
      <c r="AQ159" s="1008" t="str">
        <f t="shared" si="97"/>
        <v>-</v>
      </c>
      <c r="AR159" s="1129"/>
      <c r="AS159" s="1129"/>
      <c r="AT159" s="1129"/>
      <c r="AU159" s="1119"/>
      <c r="AV159" s="1119"/>
      <c r="AW159" s="1119"/>
      <c r="AX159" s="1119"/>
      <c r="AY159" s="1119"/>
    </row>
    <row r="160" spans="1:51" ht="15">
      <c r="A160" s="1110"/>
      <c r="B160" s="957" t="s">
        <v>1370</v>
      </c>
      <c r="C160" s="927"/>
      <c r="D160" s="967" t="s">
        <v>1367</v>
      </c>
      <c r="E160" s="967">
        <v>12</v>
      </c>
      <c r="F160" s="929">
        <v>4</v>
      </c>
      <c r="G160" s="930" t="s">
        <v>1371</v>
      </c>
      <c r="H160" s="958">
        <v>52.488723527777168</v>
      </c>
      <c r="I160" s="959">
        <v>0.37644022222222157</v>
      </c>
      <c r="J160" s="959">
        <v>75.753230430556357</v>
      </c>
      <c r="K160" s="959">
        <v>0.26583240000000002</v>
      </c>
      <c r="L160" s="944">
        <v>0</v>
      </c>
      <c r="M160" s="934">
        <v>16.335040767152996</v>
      </c>
      <c r="N160" s="934">
        <v>0.89967812827865234</v>
      </c>
      <c r="O160" s="934">
        <v>6.7652811045683503</v>
      </c>
      <c r="P160" s="934">
        <v>0</v>
      </c>
      <c r="Q160" s="934">
        <v>0.47596663419067659</v>
      </c>
      <c r="R160" s="935">
        <f t="shared" si="98"/>
        <v>4.8038771885911276</v>
      </c>
      <c r="S160" s="898">
        <f t="shared" si="99"/>
        <v>46.217610177852634</v>
      </c>
      <c r="T160" s="898">
        <f t="shared" si="100"/>
        <v>19.077610177852634</v>
      </c>
      <c r="U160" s="898">
        <f t="shared" si="101"/>
        <v>7.5519941386777232</v>
      </c>
      <c r="V160" s="898">
        <f t="shared" si="102"/>
        <v>0</v>
      </c>
      <c r="W160" s="945">
        <f t="shared" si="103"/>
        <v>13.220323640860993</v>
      </c>
      <c r="X160" s="656">
        <f t="shared" si="116"/>
        <v>1</v>
      </c>
      <c r="Y160" s="656">
        <f t="shared" si="116"/>
        <v>1</v>
      </c>
      <c r="Z160" s="656">
        <f t="shared" si="116"/>
        <v>1</v>
      </c>
      <c r="AA160" s="656">
        <f t="shared" si="116"/>
        <v>0</v>
      </c>
      <c r="AB160" s="946">
        <f t="shared" si="116"/>
        <v>1</v>
      </c>
      <c r="AC160" s="1108"/>
      <c r="AD160" s="1029" t="s">
        <v>216</v>
      </c>
      <c r="AE160" s="1030">
        <v>79</v>
      </c>
      <c r="AF160" s="1001"/>
      <c r="AG160" s="1001">
        <f t="shared" si="110"/>
        <v>20</v>
      </c>
      <c r="AH160" s="1024">
        <f t="shared" si="111"/>
        <v>5</v>
      </c>
      <c r="AI160" s="1025">
        <f t="shared" si="112"/>
        <v>2</v>
      </c>
      <c r="AJ160" s="1025">
        <f t="shared" si="113"/>
        <v>1</v>
      </c>
      <c r="AK160" s="1025">
        <f t="shared" si="114"/>
        <v>0</v>
      </c>
      <c r="AL160" s="1026">
        <f t="shared" si="115"/>
        <v>0</v>
      </c>
      <c r="AM160" s="1027">
        <f t="shared" si="93"/>
        <v>0.15</v>
      </c>
      <c r="AN160" s="1028">
        <f t="shared" si="94"/>
        <v>0.05</v>
      </c>
      <c r="AO160" s="1028">
        <f t="shared" si="95"/>
        <v>0.05</v>
      </c>
      <c r="AP160" s="1028">
        <f t="shared" si="96"/>
        <v>0</v>
      </c>
      <c r="AQ160" s="1008">
        <f t="shared" si="97"/>
        <v>0</v>
      </c>
      <c r="AR160" s="1129"/>
      <c r="AS160" s="1129"/>
      <c r="AT160" s="1129"/>
      <c r="AU160" s="1119"/>
      <c r="AV160" s="1119"/>
      <c r="AW160" s="1119"/>
      <c r="AX160" s="1119"/>
      <c r="AY160" s="1119"/>
    </row>
    <row r="161" spans="1:51" ht="15.75" thickBot="1">
      <c r="A161" s="1109"/>
      <c r="B161" s="957" t="s">
        <v>1372</v>
      </c>
      <c r="C161" s="927"/>
      <c r="D161" s="967" t="s">
        <v>1367</v>
      </c>
      <c r="E161" s="967">
        <v>12</v>
      </c>
      <c r="F161" s="929">
        <v>4</v>
      </c>
      <c r="G161" s="930">
        <v>19</v>
      </c>
      <c r="H161" s="958">
        <v>26.892772899999382</v>
      </c>
      <c r="I161" s="959">
        <v>0.55416934027777931</v>
      </c>
      <c r="J161" s="959">
        <v>49.305947958334009</v>
      </c>
      <c r="K161" s="959">
        <v>0.202014</v>
      </c>
      <c r="L161" s="944">
        <v>0</v>
      </c>
      <c r="M161" s="934">
        <v>16.335040767152996</v>
      </c>
      <c r="N161" s="934">
        <v>0.89967812827865234</v>
      </c>
      <c r="O161" s="934">
        <v>6.7652811045683503</v>
      </c>
      <c r="P161" s="934">
        <v>0</v>
      </c>
      <c r="Q161" s="934">
        <v>0.47596663419067659</v>
      </c>
      <c r="R161" s="935">
        <f t="shared" si="98"/>
        <v>4.953657017215165</v>
      </c>
      <c r="S161" s="898">
        <f t="shared" si="99"/>
        <v>40.225598135889854</v>
      </c>
      <c r="T161" s="898">
        <f t="shared" si="100"/>
        <v>13.085598135889857</v>
      </c>
      <c r="U161" s="898">
        <f t="shared" si="101"/>
        <v>5.268835342679945</v>
      </c>
      <c r="V161" s="898">
        <f t="shared" si="102"/>
        <v>0</v>
      </c>
      <c r="W161" s="945">
        <f t="shared" si="103"/>
        <v>8.2803051696998811</v>
      </c>
      <c r="X161" s="656">
        <f t="shared" si="116"/>
        <v>1</v>
      </c>
      <c r="Y161" s="656">
        <f t="shared" si="116"/>
        <v>1</v>
      </c>
      <c r="Z161" s="656">
        <f t="shared" si="116"/>
        <v>1</v>
      </c>
      <c r="AA161" s="656">
        <f t="shared" si="116"/>
        <v>0</v>
      </c>
      <c r="AB161" s="946">
        <f t="shared" si="116"/>
        <v>1</v>
      </c>
      <c r="AC161" s="1108"/>
      <c r="AD161" s="1032" t="s">
        <v>1020</v>
      </c>
      <c r="AE161" s="982" t="s">
        <v>283</v>
      </c>
      <c r="AF161" s="1013"/>
      <c r="AG161" s="1013">
        <f t="shared" si="110"/>
        <v>5</v>
      </c>
      <c r="AH161" s="1033">
        <f t="shared" si="111"/>
        <v>4</v>
      </c>
      <c r="AI161" s="1034">
        <f t="shared" si="112"/>
        <v>4</v>
      </c>
      <c r="AJ161" s="1034">
        <f t="shared" si="113"/>
        <v>2</v>
      </c>
      <c r="AK161" s="1034">
        <f t="shared" si="114"/>
        <v>1</v>
      </c>
      <c r="AL161" s="1035">
        <f t="shared" si="115"/>
        <v>2</v>
      </c>
      <c r="AM161" s="1036">
        <f t="shared" si="93"/>
        <v>0</v>
      </c>
      <c r="AN161" s="1014">
        <f t="shared" si="94"/>
        <v>0.4</v>
      </c>
      <c r="AO161" s="1014">
        <f t="shared" si="95"/>
        <v>0.2</v>
      </c>
      <c r="AP161" s="1014">
        <f t="shared" si="96"/>
        <v>0.2</v>
      </c>
      <c r="AQ161" s="1015">
        <f t="shared" si="97"/>
        <v>0.4</v>
      </c>
      <c r="AR161" s="1129"/>
      <c r="AS161" s="1129"/>
      <c r="AT161" s="1129"/>
      <c r="AU161" s="1119"/>
      <c r="AV161" s="1119"/>
      <c r="AW161" s="1119"/>
      <c r="AX161" s="1119"/>
      <c r="AY161" s="1119"/>
    </row>
    <row r="162" spans="1:51" ht="15.75" thickBot="1">
      <c r="A162" s="1109"/>
      <c r="B162" s="957" t="s">
        <v>1373</v>
      </c>
      <c r="C162" s="927"/>
      <c r="D162" s="967" t="s">
        <v>1367</v>
      </c>
      <c r="E162" s="967">
        <v>12</v>
      </c>
      <c r="F162" s="929">
        <v>4</v>
      </c>
      <c r="G162" s="930">
        <v>19</v>
      </c>
      <c r="H162" s="958">
        <v>23.077309749999742</v>
      </c>
      <c r="I162" s="959">
        <v>0.89385801388888664</v>
      </c>
      <c r="J162" s="959">
        <v>52.479348778194506</v>
      </c>
      <c r="K162" s="959">
        <v>0.2003868</v>
      </c>
      <c r="L162" s="944">
        <v>0</v>
      </c>
      <c r="M162" s="934">
        <v>16.335040767152996</v>
      </c>
      <c r="N162" s="934">
        <v>0.89967812827865234</v>
      </c>
      <c r="O162" s="934">
        <v>6.7652811045683503</v>
      </c>
      <c r="P162" s="934">
        <v>0</v>
      </c>
      <c r="Q162" s="934">
        <v>0.47596663419067659</v>
      </c>
      <c r="R162" s="935">
        <f t="shared" si="98"/>
        <v>6.776284168364616</v>
      </c>
      <c r="S162" s="898">
        <f t="shared" si="99"/>
        <v>39.332398212474942</v>
      </c>
      <c r="T162" s="898">
        <f t="shared" si="100"/>
        <v>12.19239821247494</v>
      </c>
      <c r="U162" s="898">
        <f t="shared" si="101"/>
        <v>4.9284960296999767</v>
      </c>
      <c r="V162" s="898">
        <f t="shared" si="102"/>
        <v>0</v>
      </c>
      <c r="W162" s="945">
        <f t="shared" si="103"/>
        <v>7.5439207817499501</v>
      </c>
      <c r="X162" s="656">
        <f t="shared" si="116"/>
        <v>1</v>
      </c>
      <c r="Y162" s="656">
        <f t="shared" si="116"/>
        <v>1</v>
      </c>
      <c r="Z162" s="656">
        <f t="shared" si="116"/>
        <v>0</v>
      </c>
      <c r="AA162" s="656">
        <f t="shared" si="116"/>
        <v>0</v>
      </c>
      <c r="AB162" s="946">
        <f t="shared" si="116"/>
        <v>1</v>
      </c>
      <c r="AC162" s="1108"/>
      <c r="AD162" s="1037" t="s">
        <v>283</v>
      </c>
      <c r="AE162" s="1038" t="s">
        <v>283</v>
      </c>
      <c r="AF162" s="1039" t="s">
        <v>283</v>
      </c>
      <c r="AG162" s="1038" t="s">
        <v>283</v>
      </c>
      <c r="AH162" s="1040" t="s">
        <v>283</v>
      </c>
      <c r="AI162" s="1041" t="s">
        <v>283</v>
      </c>
      <c r="AJ162" s="1041" t="s">
        <v>283</v>
      </c>
      <c r="AK162" s="1041" t="s">
        <v>283</v>
      </c>
      <c r="AL162" s="1042" t="s">
        <v>283</v>
      </c>
      <c r="AM162" s="1041" t="s">
        <v>283</v>
      </c>
      <c r="AN162" s="1041" t="s">
        <v>283</v>
      </c>
      <c r="AO162" s="1041" t="s">
        <v>283</v>
      </c>
      <c r="AP162" s="1041" t="s">
        <v>283</v>
      </c>
      <c r="AQ162" s="1043" t="s">
        <v>283</v>
      </c>
      <c r="AR162" s="1129"/>
      <c r="AS162" s="1129"/>
      <c r="AT162" s="1129"/>
      <c r="AU162" s="1119"/>
      <c r="AV162" s="1119"/>
      <c r="AW162" s="1119"/>
      <c r="AX162" s="1119"/>
      <c r="AY162" s="1119"/>
    </row>
    <row r="163" spans="1:51" ht="15">
      <c r="A163" s="1108"/>
      <c r="B163" s="957" t="s">
        <v>1374</v>
      </c>
      <c r="C163" s="927"/>
      <c r="D163" s="967" t="s">
        <v>1367</v>
      </c>
      <c r="E163" s="967">
        <v>12</v>
      </c>
      <c r="F163" s="929">
        <v>4</v>
      </c>
      <c r="G163" s="930">
        <v>18.5</v>
      </c>
      <c r="H163" s="958">
        <v>30.593336666667046</v>
      </c>
      <c r="I163" s="959">
        <v>0.92973830902777466</v>
      </c>
      <c r="J163" s="959">
        <v>93.49662613902791</v>
      </c>
      <c r="K163" s="959">
        <v>0.22356060000000003</v>
      </c>
      <c r="L163" s="944">
        <v>0</v>
      </c>
      <c r="M163" s="934">
        <v>16.335040767152996</v>
      </c>
      <c r="N163" s="934">
        <v>0.89967812827865234</v>
      </c>
      <c r="O163" s="934">
        <v>6.7652811045683503</v>
      </c>
      <c r="P163" s="934">
        <v>0</v>
      </c>
      <c r="Q163" s="934">
        <v>0.47596663419067659</v>
      </c>
      <c r="R163" s="935">
        <f t="shared" si="98"/>
        <v>12.668320284034115</v>
      </c>
      <c r="S163" s="898">
        <f t="shared" si="99"/>
        <v>41.091900113666753</v>
      </c>
      <c r="T163" s="898">
        <f t="shared" si="100"/>
        <v>13.951900113666756</v>
      </c>
      <c r="U163" s="898">
        <f t="shared" si="101"/>
        <v>5.5989256306667006</v>
      </c>
      <c r="V163" s="898">
        <f t="shared" si="102"/>
        <v>0</v>
      </c>
      <c r="W163" s="945">
        <f t="shared" si="103"/>
        <v>8.9945139766667399</v>
      </c>
      <c r="X163" s="656">
        <f t="shared" si="116"/>
        <v>1</v>
      </c>
      <c r="Y163" s="656">
        <f t="shared" si="116"/>
        <v>1</v>
      </c>
      <c r="Z163" s="656">
        <f t="shared" si="116"/>
        <v>0</v>
      </c>
      <c r="AA163" s="656">
        <f t="shared" si="116"/>
        <v>0</v>
      </c>
      <c r="AB163" s="946">
        <f t="shared" si="116"/>
        <v>0</v>
      </c>
      <c r="AC163" s="1108"/>
      <c r="AD163" s="1124"/>
      <c r="AE163" s="1120"/>
      <c r="AF163" s="1120"/>
      <c r="AG163" s="1120"/>
      <c r="AH163" s="1128"/>
      <c r="AI163" s="1119"/>
      <c r="AJ163" s="1119"/>
      <c r="AK163" s="1119"/>
      <c r="AL163" s="1119"/>
      <c r="AM163" s="1119"/>
      <c r="AN163" s="1119"/>
      <c r="AO163" s="1119"/>
      <c r="AP163" s="1119"/>
      <c r="AQ163" s="1129"/>
      <c r="AR163" s="1129"/>
      <c r="AS163" s="1129"/>
      <c r="AT163" s="1129"/>
      <c r="AU163" s="1119"/>
      <c r="AV163" s="1119"/>
      <c r="AW163" s="1119"/>
      <c r="AX163" s="1119"/>
      <c r="AY163" s="1119"/>
    </row>
    <row r="164" spans="1:51" ht="15">
      <c r="A164" s="1108"/>
      <c r="B164" s="957" t="s">
        <v>1375</v>
      </c>
      <c r="C164" s="927"/>
      <c r="D164" s="967" t="s">
        <v>1367</v>
      </c>
      <c r="E164" s="967">
        <v>12</v>
      </c>
      <c r="F164" s="929">
        <v>4</v>
      </c>
      <c r="G164" s="930">
        <v>12</v>
      </c>
      <c r="H164" s="958">
        <v>54.998121552778031</v>
      </c>
      <c r="I164" s="959">
        <v>0.66100000000000136</v>
      </c>
      <c r="J164" s="959">
        <v>85.033166666666702</v>
      </c>
      <c r="K164" s="959">
        <v>0.22206000000000001</v>
      </c>
      <c r="L164" s="944">
        <v>0</v>
      </c>
      <c r="M164" s="934">
        <v>16.335040767152996</v>
      </c>
      <c r="N164" s="934">
        <v>0.89967812827865234</v>
      </c>
      <c r="O164" s="934">
        <v>6.7652811045683503</v>
      </c>
      <c r="P164" s="934">
        <v>0</v>
      </c>
      <c r="Q164" s="934">
        <v>0.47596663419067659</v>
      </c>
      <c r="R164" s="935">
        <f t="shared" si="98"/>
        <v>6.4758990280975626</v>
      </c>
      <c r="S164" s="898">
        <f t="shared" si="99"/>
        <v>46.805060255505339</v>
      </c>
      <c r="T164" s="898">
        <f t="shared" si="100"/>
        <v>19.665060255505338</v>
      </c>
      <c r="U164" s="898">
        <f t="shared" si="101"/>
        <v>7.7758324425078005</v>
      </c>
      <c r="V164" s="898">
        <f t="shared" si="102"/>
        <v>0</v>
      </c>
      <c r="W164" s="945">
        <f t="shared" si="103"/>
        <v>13.704637459686159</v>
      </c>
      <c r="X164" s="656">
        <f t="shared" si="116"/>
        <v>1</v>
      </c>
      <c r="Y164" s="656">
        <f t="shared" si="116"/>
        <v>1</v>
      </c>
      <c r="Z164" s="656">
        <f t="shared" si="116"/>
        <v>1</v>
      </c>
      <c r="AA164" s="656">
        <f t="shared" si="116"/>
        <v>0</v>
      </c>
      <c r="AB164" s="946">
        <f t="shared" si="116"/>
        <v>1</v>
      </c>
      <c r="AC164" s="1108"/>
      <c r="AD164" s="1124"/>
      <c r="AE164" s="1120"/>
      <c r="AF164" s="1120"/>
      <c r="AG164" s="1120"/>
      <c r="AH164" s="1128"/>
      <c r="AI164" s="1119"/>
      <c r="AJ164" s="1119"/>
      <c r="AK164" s="1119"/>
      <c r="AL164" s="1119"/>
      <c r="AM164" s="1119"/>
      <c r="AN164" s="1119"/>
      <c r="AO164" s="1119"/>
      <c r="AP164" s="1119"/>
      <c r="AQ164" s="1129"/>
      <c r="AR164" s="1129"/>
      <c r="AS164" s="1129"/>
      <c r="AT164" s="1129"/>
      <c r="AU164" s="1119"/>
      <c r="AV164" s="1119"/>
      <c r="AW164" s="1119"/>
      <c r="AX164" s="1119"/>
      <c r="AY164" s="1119"/>
    </row>
    <row r="165" spans="1:51" ht="15">
      <c r="A165" s="1108"/>
      <c r="B165" s="961">
        <v>102</v>
      </c>
      <c r="C165" s="927"/>
      <c r="D165" s="928" t="s">
        <v>1376</v>
      </c>
      <c r="E165" s="928">
        <v>77</v>
      </c>
      <c r="F165" s="929">
        <v>5</v>
      </c>
      <c r="G165" s="930">
        <v>24</v>
      </c>
      <c r="H165" s="942">
        <v>262.24464999999998</v>
      </c>
      <c r="I165" s="943">
        <v>2.9868999999999999</v>
      </c>
      <c r="J165" s="943">
        <v>410.69549999999998</v>
      </c>
      <c r="K165" s="943">
        <v>1.6587780000000003</v>
      </c>
      <c r="L165" s="944">
        <v>0</v>
      </c>
      <c r="M165" s="934">
        <v>5.8908285067425732</v>
      </c>
      <c r="N165" s="934">
        <v>0.30427199991207726</v>
      </c>
      <c r="O165" s="934">
        <v>17.804899493345349</v>
      </c>
      <c r="P165" s="934">
        <v>0</v>
      </c>
      <c r="Q165" s="934">
        <v>0.62848272083124657</v>
      </c>
      <c r="R165" s="935">
        <f t="shared" si="98"/>
        <v>24.216169021315903</v>
      </c>
      <c r="S165" s="898">
        <f t="shared" si="99"/>
        <v>56.41</v>
      </c>
      <c r="T165" s="898">
        <f t="shared" si="100"/>
        <v>31.91</v>
      </c>
      <c r="U165" s="898">
        <f t="shared" si="101"/>
        <v>20.059999999999999</v>
      </c>
      <c r="V165" s="898">
        <f t="shared" si="102"/>
        <v>0</v>
      </c>
      <c r="W165" s="945">
        <f t="shared" si="103"/>
        <v>0</v>
      </c>
      <c r="X165" s="656">
        <f t="shared" si="116"/>
        <v>1</v>
      </c>
      <c r="Y165" s="656">
        <f t="shared" si="116"/>
        <v>1</v>
      </c>
      <c r="Z165" s="656">
        <f t="shared" si="116"/>
        <v>0</v>
      </c>
      <c r="AA165" s="656">
        <f t="shared" si="116"/>
        <v>0</v>
      </c>
      <c r="AB165" s="946">
        <f t="shared" si="116"/>
        <v>0</v>
      </c>
      <c r="AC165" s="1108"/>
      <c r="AD165" s="1044"/>
      <c r="AE165" s="1044"/>
      <c r="AF165" s="1044"/>
      <c r="AG165" s="1044"/>
      <c r="AH165" s="1044"/>
      <c r="AI165" s="1044"/>
      <c r="AJ165" s="1044"/>
      <c r="AK165" s="1044"/>
      <c r="AL165" s="1044"/>
      <c r="AM165" s="1044"/>
      <c r="AN165" s="1044"/>
      <c r="AO165" s="1044"/>
      <c r="AP165" s="1044"/>
      <c r="AQ165" s="1044"/>
      <c r="AR165" s="1044"/>
      <c r="AS165" s="1044"/>
      <c r="AT165" s="1044"/>
      <c r="AU165" s="1044"/>
      <c r="AV165" s="1044"/>
      <c r="AW165" s="1044"/>
      <c r="AX165" s="1044"/>
    </row>
    <row r="166" spans="1:51" ht="15">
      <c r="A166" s="1108"/>
      <c r="B166" s="961">
        <v>1057</v>
      </c>
      <c r="C166" s="927"/>
      <c r="D166" s="928" t="s">
        <v>1376</v>
      </c>
      <c r="E166" s="928">
        <v>77</v>
      </c>
      <c r="F166" s="929">
        <v>5</v>
      </c>
      <c r="G166" s="930">
        <v>12</v>
      </c>
      <c r="H166" s="942">
        <v>686.0998231666664</v>
      </c>
      <c r="I166" s="943">
        <v>6.5579708333333322</v>
      </c>
      <c r="J166" s="943">
        <v>1116.3280000000007</v>
      </c>
      <c r="K166" s="943">
        <v>4.0713333333333326</v>
      </c>
      <c r="L166" s="944">
        <v>6.7999999999999996E-3</v>
      </c>
      <c r="M166" s="934">
        <v>5.8908285067425732</v>
      </c>
      <c r="N166" s="934">
        <v>0.30427199991207726</v>
      </c>
      <c r="O166" s="934">
        <v>17.804899493345349</v>
      </c>
      <c r="P166" s="934">
        <v>0</v>
      </c>
      <c r="Q166" s="934">
        <v>0.62848272083124657</v>
      </c>
      <c r="R166" s="935">
        <f t="shared" si="98"/>
        <v>77.140536991254848</v>
      </c>
      <c r="S166" s="898">
        <f t="shared" si="99"/>
        <v>74.180577285683313</v>
      </c>
      <c r="T166" s="898">
        <f t="shared" si="100"/>
        <v>51.513209354633318</v>
      </c>
      <c r="U166" s="898">
        <f t="shared" si="101"/>
        <v>27.305586127349994</v>
      </c>
      <c r="V166" s="898">
        <f t="shared" si="102"/>
        <v>0</v>
      </c>
      <c r="W166" s="945">
        <f t="shared" si="103"/>
        <v>0</v>
      </c>
      <c r="X166" s="656">
        <f t="shared" si="116"/>
        <v>0</v>
      </c>
      <c r="Y166" s="656">
        <f t="shared" si="116"/>
        <v>0</v>
      </c>
      <c r="Z166" s="656">
        <f t="shared" si="116"/>
        <v>0</v>
      </c>
      <c r="AA166" s="656">
        <f t="shared" si="116"/>
        <v>0</v>
      </c>
      <c r="AB166" s="946">
        <f t="shared" si="116"/>
        <v>0</v>
      </c>
      <c r="AC166" s="1108"/>
      <c r="AD166" s="1044"/>
      <c r="AE166" s="1044"/>
      <c r="AF166" s="1044"/>
      <c r="AG166" s="1044"/>
      <c r="AH166" s="1044"/>
      <c r="AI166" s="1044"/>
      <c r="AJ166" s="1044"/>
      <c r="AK166" s="1044"/>
      <c r="AL166" s="1044"/>
      <c r="AM166" s="1044"/>
      <c r="AN166" s="1044"/>
      <c r="AO166" s="1044"/>
      <c r="AP166" s="1044"/>
      <c r="AQ166" s="1044"/>
      <c r="AR166" s="1044"/>
      <c r="AS166" s="1044"/>
      <c r="AT166" s="1044"/>
      <c r="AU166" s="1044"/>
      <c r="AV166" s="1044"/>
      <c r="AW166" s="1044"/>
      <c r="AX166" s="1044"/>
    </row>
    <row r="167" spans="1:51" ht="15">
      <c r="A167" s="1109"/>
      <c r="B167" s="961">
        <v>1058</v>
      </c>
      <c r="C167" s="927"/>
      <c r="D167" s="928" t="s">
        <v>1376</v>
      </c>
      <c r="E167" s="928">
        <v>77</v>
      </c>
      <c r="F167" s="929">
        <v>5</v>
      </c>
      <c r="G167" s="930">
        <v>12</v>
      </c>
      <c r="H167" s="942">
        <v>774.98029649999955</v>
      </c>
      <c r="I167" s="943">
        <v>8.0303750000000154</v>
      </c>
      <c r="J167" s="943">
        <v>1195.5021416666673</v>
      </c>
      <c r="K167" s="943">
        <v>4.182666666666667</v>
      </c>
      <c r="L167" s="944">
        <v>0</v>
      </c>
      <c r="M167" s="934">
        <v>5.8908285067425732</v>
      </c>
      <c r="N167" s="934">
        <v>0.30427199991207726</v>
      </c>
      <c r="O167" s="934">
        <v>17.804899493345349</v>
      </c>
      <c r="P167" s="934">
        <v>0</v>
      </c>
      <c r="Q167" s="934">
        <v>0.62848272083124657</v>
      </c>
      <c r="R167" s="935">
        <f t="shared" si="98"/>
        <v>69.985865564761681</v>
      </c>
      <c r="S167" s="898">
        <f t="shared" si="99"/>
        <v>80.571083318349963</v>
      </c>
      <c r="T167" s="898">
        <f t="shared" si="100"/>
        <v>56.863813849299973</v>
      </c>
      <c r="U167" s="898">
        <f t="shared" si="101"/>
        <v>29.252068493349988</v>
      </c>
      <c r="V167" s="898">
        <f t="shared" si="102"/>
        <v>0</v>
      </c>
      <c r="W167" s="945">
        <f t="shared" si="103"/>
        <v>0</v>
      </c>
      <c r="X167" s="656">
        <f t="shared" si="116"/>
        <v>1</v>
      </c>
      <c r="Y167" s="656">
        <f t="shared" si="116"/>
        <v>0</v>
      </c>
      <c r="Z167" s="656">
        <f t="shared" si="116"/>
        <v>0</v>
      </c>
      <c r="AA167" s="656">
        <f t="shared" si="116"/>
        <v>0</v>
      </c>
      <c r="AB167" s="946">
        <f t="shared" si="116"/>
        <v>0</v>
      </c>
      <c r="AC167" s="1108"/>
      <c r="AD167" s="1044"/>
      <c r="AE167" s="1044"/>
      <c r="AF167" s="1044"/>
      <c r="AG167" s="1044"/>
      <c r="AH167" s="1044"/>
      <c r="AI167" s="1044"/>
      <c r="AJ167" s="1044"/>
      <c r="AK167" s="1044"/>
      <c r="AL167" s="1044"/>
      <c r="AM167" s="1044"/>
      <c r="AN167" s="1044"/>
      <c r="AO167" s="1044"/>
      <c r="AP167" s="1044"/>
      <c r="AQ167" s="1044"/>
      <c r="AR167" s="1044"/>
      <c r="AS167" s="1044"/>
      <c r="AT167" s="1044"/>
      <c r="AU167" s="1044"/>
      <c r="AV167" s="1044"/>
      <c r="AW167" s="1044"/>
      <c r="AX167" s="1044"/>
    </row>
    <row r="168" spans="1:51" ht="15">
      <c r="A168" s="1108"/>
      <c r="B168" s="961">
        <v>1059</v>
      </c>
      <c r="C168" s="927"/>
      <c r="D168" s="928" t="s">
        <v>1376</v>
      </c>
      <c r="E168" s="928">
        <v>77</v>
      </c>
      <c r="F168" s="929">
        <v>5</v>
      </c>
      <c r="G168" s="930">
        <v>12</v>
      </c>
      <c r="H168" s="942">
        <v>986.40937599999984</v>
      </c>
      <c r="I168" s="943">
        <v>8.6099250000000005</v>
      </c>
      <c r="J168" s="943">
        <v>1706.2585964556934</v>
      </c>
      <c r="K168" s="943">
        <v>4.182666666666667</v>
      </c>
      <c r="L168" s="944">
        <v>0</v>
      </c>
      <c r="M168" s="934">
        <v>5.8908285067425732</v>
      </c>
      <c r="N168" s="934">
        <v>0.30427199991207726</v>
      </c>
      <c r="O168" s="934">
        <v>17.804899493345349</v>
      </c>
      <c r="P168" s="934">
        <v>0</v>
      </c>
      <c r="Q168" s="934">
        <v>0.62848272083124657</v>
      </c>
      <c r="R168" s="935">
        <f t="shared" si="98"/>
        <v>136.70582924487974</v>
      </c>
      <c r="S168" s="898">
        <f t="shared" si="99"/>
        <v>95.7728341344</v>
      </c>
      <c r="T168" s="898">
        <f t="shared" si="100"/>
        <v>69.591844435199988</v>
      </c>
      <c r="U168" s="898">
        <f t="shared" si="101"/>
        <v>33.882365334399992</v>
      </c>
      <c r="V168" s="898">
        <f t="shared" si="102"/>
        <v>0</v>
      </c>
      <c r="W168" s="945">
        <f t="shared" si="103"/>
        <v>0</v>
      </c>
      <c r="X168" s="656">
        <f t="shared" si="116"/>
        <v>0</v>
      </c>
      <c r="Y168" s="656">
        <f t="shared" si="116"/>
        <v>0</v>
      </c>
      <c r="Z168" s="656">
        <f t="shared" si="116"/>
        <v>0</v>
      </c>
      <c r="AA168" s="656">
        <f t="shared" si="116"/>
        <v>0</v>
      </c>
      <c r="AB168" s="946">
        <f t="shared" si="116"/>
        <v>0</v>
      </c>
      <c r="AC168" s="1108"/>
      <c r="AD168" s="1044"/>
      <c r="AE168" s="1044"/>
      <c r="AF168" s="1044"/>
      <c r="AG168" s="1044"/>
      <c r="AH168" s="1044"/>
      <c r="AI168" s="1044"/>
      <c r="AJ168" s="1044"/>
      <c r="AK168" s="1044"/>
      <c r="AL168" s="1044"/>
      <c r="AM168" s="1044"/>
      <c r="AN168" s="1044"/>
      <c r="AO168" s="1044"/>
      <c r="AP168" s="1044"/>
      <c r="AQ168" s="1044"/>
      <c r="AR168" s="1044"/>
      <c r="AS168" s="1044"/>
      <c r="AT168" s="1044"/>
      <c r="AU168" s="1044"/>
      <c r="AV168" s="1044"/>
      <c r="AW168" s="1044"/>
      <c r="AX168" s="1044"/>
    </row>
    <row r="169" spans="1:51" ht="15">
      <c r="A169" s="1109"/>
      <c r="B169" s="965" t="s">
        <v>1377</v>
      </c>
      <c r="C169" s="966"/>
      <c r="D169" s="928" t="s">
        <v>1376</v>
      </c>
      <c r="E169" s="928">
        <v>77</v>
      </c>
      <c r="F169" s="968">
        <v>5</v>
      </c>
      <c r="G169" s="965">
        <v>12</v>
      </c>
      <c r="H169" s="958">
        <v>352.61668383333347</v>
      </c>
      <c r="I169" s="959">
        <v>4.6500000000000909</v>
      </c>
      <c r="J169" s="959">
        <v>651.04500000000144</v>
      </c>
      <c r="K169" s="959">
        <v>1.1678969072164951</v>
      </c>
      <c r="L169" s="944">
        <v>0</v>
      </c>
      <c r="M169" s="934">
        <v>5.8908285067425732</v>
      </c>
      <c r="N169" s="934">
        <v>0.30427199991207726</v>
      </c>
      <c r="O169" s="934">
        <v>17.804899493345349</v>
      </c>
      <c r="P169" s="934">
        <v>0</v>
      </c>
      <c r="Q169" s="934">
        <v>0.62848272083124657</v>
      </c>
      <c r="R169" s="935">
        <f t="shared" si="98"/>
        <v>52.985618965213696</v>
      </c>
      <c r="S169" s="898">
        <f t="shared" si="99"/>
        <v>56.41</v>
      </c>
      <c r="T169" s="898">
        <f t="shared" si="100"/>
        <v>31.91</v>
      </c>
      <c r="U169" s="898">
        <f t="shared" si="101"/>
        <v>20.059999999999999</v>
      </c>
      <c r="V169" s="898">
        <f t="shared" si="102"/>
        <v>0</v>
      </c>
      <c r="W169" s="945">
        <f t="shared" si="103"/>
        <v>0</v>
      </c>
      <c r="X169" s="656">
        <f t="shared" si="116"/>
        <v>1</v>
      </c>
      <c r="Y169" s="656">
        <f t="shared" si="116"/>
        <v>0</v>
      </c>
      <c r="Z169" s="656">
        <f t="shared" si="116"/>
        <v>0</v>
      </c>
      <c r="AA169" s="656">
        <f t="shared" si="116"/>
        <v>0</v>
      </c>
      <c r="AB169" s="946">
        <f t="shared" si="116"/>
        <v>0</v>
      </c>
      <c r="AC169" s="1108"/>
      <c r="AD169" s="1044"/>
      <c r="AE169" s="1044"/>
      <c r="AF169" s="1044"/>
      <c r="AG169" s="1044"/>
      <c r="AH169" s="1044"/>
      <c r="AI169" s="1044"/>
      <c r="AJ169" s="1044"/>
      <c r="AK169" s="1044"/>
      <c r="AL169" s="1044"/>
      <c r="AM169" s="1044"/>
      <c r="AN169" s="1044"/>
      <c r="AO169" s="1044"/>
      <c r="AP169" s="1044"/>
      <c r="AQ169" s="1044"/>
      <c r="AR169" s="1044"/>
      <c r="AS169" s="1044"/>
      <c r="AT169" s="1044"/>
      <c r="AU169" s="1044"/>
      <c r="AV169" s="1044"/>
      <c r="AW169" s="1044"/>
      <c r="AX169" s="1044"/>
    </row>
    <row r="170" spans="1:51" ht="15">
      <c r="A170" s="1109"/>
      <c r="B170" s="965" t="s">
        <v>1378</v>
      </c>
      <c r="C170" s="966"/>
      <c r="D170" s="928" t="s">
        <v>1376</v>
      </c>
      <c r="E170" s="928">
        <v>77</v>
      </c>
      <c r="F170" s="968">
        <v>5</v>
      </c>
      <c r="G170" s="965"/>
      <c r="H170" s="958">
        <v>393.49603693611095</v>
      </c>
      <c r="I170" s="959">
        <v>10.574999999999999</v>
      </c>
      <c r="J170" s="959">
        <v>1088.1508333333329</v>
      </c>
      <c r="K170" s="959">
        <v>6.4462116040955628</v>
      </c>
      <c r="L170" s="944">
        <v>0</v>
      </c>
      <c r="M170" s="934">
        <v>5.8908285067425732</v>
      </c>
      <c r="N170" s="934">
        <v>0.30427199991207726</v>
      </c>
      <c r="O170" s="934">
        <v>17.804899493345349</v>
      </c>
      <c r="P170" s="934">
        <v>0</v>
      </c>
      <c r="Q170" s="934">
        <v>0.62848272083124657</v>
      </c>
      <c r="R170" s="935">
        <f t="shared" si="98"/>
        <v>124.58418530663403</v>
      </c>
      <c r="S170" s="898">
        <f t="shared" si="99"/>
        <v>56.41</v>
      </c>
      <c r="T170" s="898">
        <f t="shared" si="100"/>
        <v>33.898461423553883</v>
      </c>
      <c r="U170" s="898">
        <f t="shared" si="101"/>
        <v>20.897563208900827</v>
      </c>
      <c r="V170" s="898">
        <f t="shared" si="102"/>
        <v>0</v>
      </c>
      <c r="W170" s="945">
        <f t="shared" si="103"/>
        <v>0</v>
      </c>
      <c r="X170" s="656">
        <f t="shared" si="116"/>
        <v>0</v>
      </c>
      <c r="Y170" s="656">
        <f t="shared" si="116"/>
        <v>0</v>
      </c>
      <c r="Z170" s="656">
        <f t="shared" si="116"/>
        <v>0</v>
      </c>
      <c r="AA170" s="656">
        <f t="shared" si="116"/>
        <v>0</v>
      </c>
      <c r="AB170" s="946">
        <f t="shared" si="116"/>
        <v>0</v>
      </c>
      <c r="AC170" s="1108"/>
      <c r="AD170" s="1044"/>
      <c r="AE170" s="1044"/>
      <c r="AF170" s="1044"/>
      <c r="AG170" s="1044"/>
      <c r="AH170" s="1044"/>
      <c r="AI170" s="1044"/>
      <c r="AJ170" s="1044"/>
      <c r="AK170" s="1044"/>
      <c r="AL170" s="1044"/>
      <c r="AM170" s="1044"/>
      <c r="AN170" s="1044"/>
      <c r="AO170" s="1044"/>
      <c r="AP170" s="1044"/>
      <c r="AQ170" s="1044"/>
      <c r="AR170" s="1044"/>
      <c r="AS170" s="1044"/>
      <c r="AT170" s="1044"/>
      <c r="AU170" s="1044"/>
      <c r="AV170" s="1044"/>
      <c r="AW170" s="1044"/>
      <c r="AX170" s="1044"/>
    </row>
    <row r="171" spans="1:51" ht="15">
      <c r="A171" s="1108"/>
      <c r="B171" s="961">
        <v>100</v>
      </c>
      <c r="C171" s="927"/>
      <c r="D171" s="928" t="s">
        <v>1379</v>
      </c>
      <c r="E171" s="928">
        <v>79</v>
      </c>
      <c r="F171" s="929">
        <v>5</v>
      </c>
      <c r="G171" s="930">
        <v>36</v>
      </c>
      <c r="H171" s="942">
        <v>435.07799999999997</v>
      </c>
      <c r="I171" s="943">
        <v>2.61617889</v>
      </c>
      <c r="J171" s="943">
        <v>620.15213789999996</v>
      </c>
      <c r="K171" s="943">
        <v>2.0457360000000002</v>
      </c>
      <c r="L171" s="944">
        <v>0</v>
      </c>
      <c r="M171" s="934">
        <v>5.8908285067425732</v>
      </c>
      <c r="N171" s="934">
        <v>0.30427199991207726</v>
      </c>
      <c r="O171" s="934">
        <v>17.804899493345349</v>
      </c>
      <c r="P171" s="934">
        <v>0</v>
      </c>
      <c r="Q171" s="934">
        <v>0.62848272083124657</v>
      </c>
      <c r="R171" s="935">
        <f t="shared" si="98"/>
        <v>33.904288507217025</v>
      </c>
      <c r="S171" s="898">
        <f t="shared" si="99"/>
        <v>56.41</v>
      </c>
      <c r="T171" s="898">
        <f t="shared" si="100"/>
        <v>36.401695599999996</v>
      </c>
      <c r="U171" s="898">
        <f t="shared" si="101"/>
        <v>21.808208199999999</v>
      </c>
      <c r="V171" s="898">
        <f t="shared" si="102"/>
        <v>0</v>
      </c>
      <c r="W171" s="945">
        <f t="shared" si="103"/>
        <v>0</v>
      </c>
      <c r="X171" s="656">
        <f t="shared" si="116"/>
        <v>1</v>
      </c>
      <c r="Y171" s="656">
        <f t="shared" si="116"/>
        <v>1</v>
      </c>
      <c r="Z171" s="656">
        <f t="shared" si="116"/>
        <v>0</v>
      </c>
      <c r="AA171" s="656">
        <f t="shared" si="116"/>
        <v>0</v>
      </c>
      <c r="AB171" s="946">
        <f t="shared" si="116"/>
        <v>0</v>
      </c>
      <c r="AC171" s="1108"/>
      <c r="AD171" s="1044"/>
      <c r="AE171" s="1044"/>
      <c r="AF171" s="1044"/>
      <c r="AG171" s="1044"/>
      <c r="AH171" s="1044"/>
      <c r="AI171" s="1044"/>
      <c r="AJ171" s="1044"/>
      <c r="AK171" s="1044"/>
      <c r="AL171" s="1044"/>
      <c r="AM171" s="1044"/>
      <c r="AN171" s="1044"/>
      <c r="AO171" s="1044"/>
      <c r="AP171" s="1044"/>
      <c r="AQ171" s="1044"/>
      <c r="AR171" s="1044"/>
      <c r="AS171" s="1044"/>
      <c r="AT171" s="1044"/>
      <c r="AU171" s="1044"/>
      <c r="AV171" s="1044"/>
      <c r="AW171" s="1044"/>
      <c r="AX171" s="1044"/>
    </row>
    <row r="172" spans="1:51" ht="15">
      <c r="A172" s="1108"/>
      <c r="B172" s="961">
        <v>116</v>
      </c>
      <c r="C172" s="927"/>
      <c r="D172" s="928" t="s">
        <v>1379</v>
      </c>
      <c r="E172" s="928">
        <v>79</v>
      </c>
      <c r="F172" s="929">
        <v>5</v>
      </c>
      <c r="G172" s="930">
        <v>12</v>
      </c>
      <c r="H172" s="942">
        <v>109.50960000000001</v>
      </c>
      <c r="I172" s="943">
        <v>3.7711000000000001</v>
      </c>
      <c r="J172" s="943">
        <v>216.20509999999999</v>
      </c>
      <c r="K172" s="943">
        <v>1.5553319999999999</v>
      </c>
      <c r="L172" s="944">
        <v>0</v>
      </c>
      <c r="M172" s="934">
        <v>5.8908285067425732</v>
      </c>
      <c r="N172" s="934">
        <v>0.30427199991207726</v>
      </c>
      <c r="O172" s="934">
        <v>17.804899493345349</v>
      </c>
      <c r="P172" s="934">
        <v>0</v>
      </c>
      <c r="Q172" s="934">
        <v>0.62848272083124657</v>
      </c>
      <c r="R172" s="935">
        <f t="shared" si="98"/>
        <v>11.994891696149953</v>
      </c>
      <c r="S172" s="898">
        <f t="shared" si="99"/>
        <v>56.41</v>
      </c>
      <c r="T172" s="898">
        <f t="shared" si="100"/>
        <v>31.91</v>
      </c>
      <c r="U172" s="898">
        <f t="shared" si="101"/>
        <v>20.059999999999999</v>
      </c>
      <c r="V172" s="898">
        <f t="shared" si="102"/>
        <v>0</v>
      </c>
      <c r="W172" s="945">
        <f t="shared" si="103"/>
        <v>0</v>
      </c>
      <c r="X172" s="656">
        <f t="shared" si="116"/>
        <v>1</v>
      </c>
      <c r="Y172" s="656">
        <f t="shared" si="116"/>
        <v>1</v>
      </c>
      <c r="Z172" s="656">
        <f t="shared" si="116"/>
        <v>1</v>
      </c>
      <c r="AA172" s="656">
        <f t="shared" si="116"/>
        <v>0</v>
      </c>
      <c r="AB172" s="946">
        <f t="shared" si="116"/>
        <v>0</v>
      </c>
      <c r="AC172" s="1108"/>
      <c r="AD172" s="1044"/>
      <c r="AE172" s="1044"/>
      <c r="AF172" s="1044"/>
      <c r="AG172" s="1044"/>
      <c r="AH172" s="1044"/>
      <c r="AI172" s="1044"/>
      <c r="AJ172" s="1044"/>
      <c r="AK172" s="1044"/>
      <c r="AL172" s="1044"/>
      <c r="AM172" s="1044"/>
      <c r="AN172" s="1044"/>
      <c r="AO172" s="1044"/>
      <c r="AP172" s="1044"/>
      <c r="AQ172" s="1044"/>
      <c r="AR172" s="1044"/>
      <c r="AS172" s="1044"/>
      <c r="AT172" s="1044"/>
      <c r="AU172" s="1044"/>
      <c r="AV172" s="1044"/>
      <c r="AW172" s="1044"/>
      <c r="AX172" s="1044"/>
    </row>
    <row r="173" spans="1:51" ht="15">
      <c r="A173" s="1109"/>
      <c r="B173" s="961">
        <v>118</v>
      </c>
      <c r="C173" s="927"/>
      <c r="D173" s="928" t="s">
        <v>1379</v>
      </c>
      <c r="E173" s="928">
        <v>79</v>
      </c>
      <c r="F173" s="929">
        <v>5</v>
      </c>
      <c r="G173" s="930">
        <v>12</v>
      </c>
      <c r="H173" s="942">
        <v>99.274799999999999</v>
      </c>
      <c r="I173" s="943">
        <v>2.9979</v>
      </c>
      <c r="J173" s="943">
        <v>342.69420000000002</v>
      </c>
      <c r="K173" s="943">
        <v>1.848984</v>
      </c>
      <c r="L173" s="944">
        <v>0</v>
      </c>
      <c r="M173" s="934">
        <v>5.8908285067425732</v>
      </c>
      <c r="N173" s="934">
        <v>0.30427199991207726</v>
      </c>
      <c r="O173" s="934">
        <v>17.804899493345349</v>
      </c>
      <c r="P173" s="934">
        <v>0</v>
      </c>
      <c r="Q173" s="934">
        <v>0.62848272083124657</v>
      </c>
      <c r="R173" s="935">
        <f t="shared" si="98"/>
        <v>45.98580807874712</v>
      </c>
      <c r="S173" s="898">
        <f t="shared" si="99"/>
        <v>56.41</v>
      </c>
      <c r="T173" s="898">
        <f t="shared" si="100"/>
        <v>31.91</v>
      </c>
      <c r="U173" s="898">
        <f t="shared" si="101"/>
        <v>20.059999999999999</v>
      </c>
      <c r="V173" s="898">
        <f t="shared" si="102"/>
        <v>0</v>
      </c>
      <c r="W173" s="945">
        <f t="shared" si="103"/>
        <v>0</v>
      </c>
      <c r="X173" s="656">
        <f t="shared" si="116"/>
        <v>1</v>
      </c>
      <c r="Y173" s="656">
        <f t="shared" si="116"/>
        <v>0</v>
      </c>
      <c r="Z173" s="656">
        <f t="shared" si="116"/>
        <v>0</v>
      </c>
      <c r="AA173" s="656">
        <f t="shared" si="116"/>
        <v>0</v>
      </c>
      <c r="AB173" s="946">
        <f t="shared" si="116"/>
        <v>0</v>
      </c>
      <c r="AC173" s="1108"/>
      <c r="AD173" s="1044"/>
      <c r="AE173" s="1044"/>
      <c r="AF173" s="1044"/>
      <c r="AG173" s="1044"/>
      <c r="AH173" s="1044"/>
      <c r="AI173" s="1044"/>
      <c r="AJ173" s="1044"/>
      <c r="AK173" s="1044"/>
      <c r="AL173" s="1044"/>
      <c r="AM173" s="1044"/>
      <c r="AN173" s="1044"/>
      <c r="AO173" s="1044"/>
      <c r="AP173" s="1044"/>
      <c r="AQ173" s="1044"/>
      <c r="AR173" s="1044"/>
      <c r="AS173" s="1044"/>
      <c r="AT173" s="1044"/>
      <c r="AU173" s="1044"/>
      <c r="AV173" s="1044"/>
      <c r="AW173" s="1044"/>
      <c r="AX173" s="1044"/>
    </row>
    <row r="174" spans="1:51" ht="15">
      <c r="A174" s="1109"/>
      <c r="B174" s="926">
        <v>122</v>
      </c>
      <c r="C174" s="927"/>
      <c r="D174" s="928" t="s">
        <v>1379</v>
      </c>
      <c r="E174" s="928">
        <v>79</v>
      </c>
      <c r="F174" s="929">
        <v>5</v>
      </c>
      <c r="G174" s="930">
        <v>12</v>
      </c>
      <c r="H174" s="942">
        <v>454.91539999999998</v>
      </c>
      <c r="I174" s="943">
        <v>14.399544097222201</v>
      </c>
      <c r="J174" s="943">
        <v>996.98464680555503</v>
      </c>
      <c r="K174" s="943">
        <v>15.075299999999999</v>
      </c>
      <c r="L174" s="944">
        <v>0</v>
      </c>
      <c r="M174" s="934">
        <v>5.8908285067425732</v>
      </c>
      <c r="N174" s="934">
        <v>0.30427199991207726</v>
      </c>
      <c r="O174" s="934">
        <v>17.804899493345349</v>
      </c>
      <c r="P174" s="934">
        <v>0</v>
      </c>
      <c r="Q174" s="934">
        <v>0.62848272083124657</v>
      </c>
      <c r="R174" s="935">
        <f t="shared" si="98"/>
        <v>77.707273590052353</v>
      </c>
      <c r="S174" s="898">
        <f t="shared" si="99"/>
        <v>57.558417259999999</v>
      </c>
      <c r="T174" s="898">
        <f t="shared" si="100"/>
        <v>37.595907079999996</v>
      </c>
      <c r="U174" s="898">
        <f t="shared" si="101"/>
        <v>22.242647259999998</v>
      </c>
      <c r="V174" s="898">
        <f t="shared" si="102"/>
        <v>0</v>
      </c>
      <c r="W174" s="945">
        <f t="shared" si="103"/>
        <v>0</v>
      </c>
      <c r="X174" s="656">
        <f t="shared" si="116"/>
        <v>0</v>
      </c>
      <c r="Y174" s="656">
        <f t="shared" si="116"/>
        <v>0</v>
      </c>
      <c r="Z174" s="656">
        <f t="shared" si="116"/>
        <v>0</v>
      </c>
      <c r="AA174" s="656">
        <f t="shared" si="116"/>
        <v>0</v>
      </c>
      <c r="AB174" s="946">
        <f t="shared" si="116"/>
        <v>0</v>
      </c>
      <c r="AC174" s="1108"/>
      <c r="AD174" s="1044"/>
      <c r="AE174" s="1044"/>
      <c r="AF174" s="1044"/>
      <c r="AG174" s="1044"/>
      <c r="AH174" s="1044"/>
      <c r="AI174" s="1044"/>
      <c r="AJ174" s="1044"/>
      <c r="AK174" s="1044"/>
      <c r="AL174" s="1044"/>
      <c r="AM174" s="1044"/>
      <c r="AN174" s="1044"/>
      <c r="AO174" s="1044"/>
      <c r="AP174" s="1044"/>
      <c r="AQ174" s="1044"/>
      <c r="AR174" s="1044"/>
      <c r="AS174" s="1044"/>
      <c r="AT174" s="1044"/>
      <c r="AU174" s="1044"/>
      <c r="AV174" s="1044"/>
      <c r="AW174" s="1044"/>
      <c r="AX174" s="1044"/>
    </row>
    <row r="175" spans="1:51" ht="15">
      <c r="A175" s="1108"/>
      <c r="B175" s="926">
        <v>123</v>
      </c>
      <c r="C175" s="927"/>
      <c r="D175" s="928" t="s">
        <v>1379</v>
      </c>
      <c r="E175" s="928">
        <v>79</v>
      </c>
      <c r="F175" s="929">
        <v>5</v>
      </c>
      <c r="G175" s="930">
        <v>12</v>
      </c>
      <c r="H175" s="942">
        <v>449.29399999999998</v>
      </c>
      <c r="I175" s="943">
        <v>20.667899999999999</v>
      </c>
      <c r="J175" s="943">
        <v>1146.9296999999999</v>
      </c>
      <c r="K175" s="943">
        <v>19.541460000000001</v>
      </c>
      <c r="L175" s="944">
        <v>0</v>
      </c>
      <c r="M175" s="934">
        <v>5.8908285067425732</v>
      </c>
      <c r="N175" s="934">
        <v>0.30427199991207726</v>
      </c>
      <c r="O175" s="934">
        <v>17.804899493345349</v>
      </c>
      <c r="P175" s="934">
        <v>0</v>
      </c>
      <c r="Q175" s="934">
        <v>0.62848272083124657</v>
      </c>
      <c r="R175" s="935">
        <f t="shared" si="98"/>
        <v>92.857067214040313</v>
      </c>
      <c r="S175" s="898">
        <f t="shared" si="99"/>
        <v>57.154238599999999</v>
      </c>
      <c r="T175" s="898">
        <f t="shared" si="100"/>
        <v>37.257498799999993</v>
      </c>
      <c r="U175" s="898">
        <f t="shared" si="101"/>
        <v>22.119538599999998</v>
      </c>
      <c r="V175" s="898">
        <f t="shared" si="102"/>
        <v>0</v>
      </c>
      <c r="W175" s="945">
        <f t="shared" si="103"/>
        <v>0</v>
      </c>
      <c r="X175" s="656">
        <f t="shared" si="116"/>
        <v>0</v>
      </c>
      <c r="Y175" s="656">
        <f t="shared" si="116"/>
        <v>0</v>
      </c>
      <c r="Z175" s="656">
        <f t="shared" si="116"/>
        <v>0</v>
      </c>
      <c r="AA175" s="656">
        <f t="shared" si="116"/>
        <v>0</v>
      </c>
      <c r="AB175" s="946">
        <f t="shared" si="116"/>
        <v>0</v>
      </c>
      <c r="AC175" s="1108"/>
      <c r="AD175" s="1044"/>
      <c r="AE175" s="1044"/>
      <c r="AF175" s="1044"/>
      <c r="AG175" s="1044"/>
      <c r="AH175" s="1044"/>
      <c r="AI175" s="1044"/>
      <c r="AJ175" s="1044"/>
      <c r="AK175" s="1044"/>
      <c r="AL175" s="1044"/>
      <c r="AM175" s="1044"/>
      <c r="AN175" s="1044"/>
      <c r="AO175" s="1044"/>
      <c r="AP175" s="1044"/>
      <c r="AQ175" s="1044"/>
      <c r="AR175" s="1044"/>
      <c r="AS175" s="1044"/>
      <c r="AT175" s="1044"/>
      <c r="AU175" s="1044"/>
      <c r="AV175" s="1044"/>
      <c r="AW175" s="1044"/>
      <c r="AX175" s="1044"/>
    </row>
    <row r="176" spans="1:51" ht="15">
      <c r="A176" s="1108"/>
      <c r="B176" s="926">
        <v>124</v>
      </c>
      <c r="C176" s="927"/>
      <c r="D176" s="928" t="s">
        <v>1379</v>
      </c>
      <c r="E176" s="928">
        <v>79</v>
      </c>
      <c r="F176" s="929">
        <v>5</v>
      </c>
      <c r="G176" s="930">
        <v>12</v>
      </c>
      <c r="H176" s="942">
        <v>928.3211</v>
      </c>
      <c r="I176" s="943">
        <v>5.7667000000000002</v>
      </c>
      <c r="J176" s="943">
        <v>1737.6457</v>
      </c>
      <c r="K176" s="943">
        <v>1.2629159999999999</v>
      </c>
      <c r="L176" s="944">
        <v>0</v>
      </c>
      <c r="M176" s="934">
        <v>5.8908285067425732</v>
      </c>
      <c r="N176" s="934">
        <v>0.30427199991207726</v>
      </c>
      <c r="O176" s="934">
        <v>17.804899493345349</v>
      </c>
      <c r="P176" s="934">
        <v>0</v>
      </c>
      <c r="Q176" s="934">
        <v>0.62848272083124657</v>
      </c>
      <c r="R176" s="935">
        <f t="shared" si="98"/>
        <v>166.44690799777905</v>
      </c>
      <c r="S176" s="898">
        <f t="shared" si="99"/>
        <v>91.596287090000004</v>
      </c>
      <c r="T176" s="898">
        <f t="shared" si="100"/>
        <v>66.094930219999995</v>
      </c>
      <c r="U176" s="898">
        <f t="shared" si="101"/>
        <v>32.610232089999997</v>
      </c>
      <c r="V176" s="898">
        <f t="shared" si="102"/>
        <v>0</v>
      </c>
      <c r="W176" s="945">
        <f t="shared" si="103"/>
        <v>0</v>
      </c>
      <c r="X176" s="656">
        <f t="shared" si="116"/>
        <v>0</v>
      </c>
      <c r="Y176" s="656">
        <f t="shared" si="116"/>
        <v>0</v>
      </c>
      <c r="Z176" s="656">
        <f t="shared" si="116"/>
        <v>0</v>
      </c>
      <c r="AA176" s="656">
        <f t="shared" si="116"/>
        <v>0</v>
      </c>
      <c r="AB176" s="946">
        <f t="shared" si="116"/>
        <v>0</v>
      </c>
      <c r="AC176" s="1108"/>
      <c r="AD176" s="1044"/>
      <c r="AE176" s="1044"/>
      <c r="AF176" s="1044"/>
      <c r="AG176" s="1044"/>
      <c r="AH176" s="1044"/>
      <c r="AI176" s="1044"/>
      <c r="AJ176" s="1044"/>
      <c r="AK176" s="1044"/>
      <c r="AL176" s="1044"/>
      <c r="AM176" s="1044"/>
      <c r="AN176" s="1044"/>
      <c r="AO176" s="1044"/>
      <c r="AP176" s="1044"/>
      <c r="AQ176" s="1044"/>
      <c r="AR176" s="1044"/>
      <c r="AS176" s="1044"/>
      <c r="AT176" s="1044"/>
      <c r="AU176" s="1044"/>
      <c r="AV176" s="1044"/>
      <c r="AW176" s="1044"/>
      <c r="AX176" s="1044"/>
    </row>
    <row r="177" spans="1:50" ht="15">
      <c r="A177" s="1108"/>
      <c r="B177" s="926">
        <v>125</v>
      </c>
      <c r="C177" s="927"/>
      <c r="D177" s="928" t="s">
        <v>1379</v>
      </c>
      <c r="E177" s="928">
        <v>79</v>
      </c>
      <c r="F177" s="929">
        <v>5</v>
      </c>
      <c r="G177" s="930">
        <v>12</v>
      </c>
      <c r="H177" s="942">
        <v>841.25800000000004</v>
      </c>
      <c r="I177" s="943">
        <v>0.96664968750000002</v>
      </c>
      <c r="J177" s="943">
        <v>1439.1522041666601</v>
      </c>
      <c r="K177" s="943">
        <v>1.2629159999999999</v>
      </c>
      <c r="L177" s="944">
        <v>0</v>
      </c>
      <c r="M177" s="934">
        <v>5.8908285067425732</v>
      </c>
      <c r="N177" s="934">
        <v>0.30427199991207726</v>
      </c>
      <c r="O177" s="934">
        <v>17.804899493345349</v>
      </c>
      <c r="P177" s="934">
        <v>0</v>
      </c>
      <c r="Q177" s="934">
        <v>0.62848272083124657</v>
      </c>
      <c r="R177" s="935">
        <f t="shared" si="98"/>
        <v>134.05145880532442</v>
      </c>
      <c r="S177" s="898">
        <f t="shared" si="99"/>
        <v>85.336450200000002</v>
      </c>
      <c r="T177" s="898">
        <f t="shared" si="100"/>
        <v>60.853731600000003</v>
      </c>
      <c r="U177" s="898">
        <f t="shared" si="101"/>
        <v>30.703550200000002</v>
      </c>
      <c r="V177" s="898">
        <f t="shared" si="102"/>
        <v>0</v>
      </c>
      <c r="W177" s="945">
        <f t="shared" si="103"/>
        <v>0</v>
      </c>
      <c r="X177" s="656">
        <f t="shared" si="116"/>
        <v>0</v>
      </c>
      <c r="Y177" s="656">
        <f t="shared" si="116"/>
        <v>0</v>
      </c>
      <c r="Z177" s="656">
        <f t="shared" si="116"/>
        <v>0</v>
      </c>
      <c r="AA177" s="656">
        <f t="shared" si="116"/>
        <v>0</v>
      </c>
      <c r="AB177" s="946">
        <f t="shared" si="116"/>
        <v>0</v>
      </c>
      <c r="AC177" s="1108"/>
      <c r="AD177" s="525"/>
      <c r="AE177" s="525"/>
      <c r="AF177" s="525"/>
      <c r="AG177" s="525"/>
      <c r="AH177" s="525"/>
      <c r="AI177" s="525"/>
      <c r="AJ177" s="525"/>
      <c r="AK177" s="525"/>
      <c r="AL177" s="525"/>
      <c r="AM177" s="525"/>
      <c r="AN177" s="525"/>
      <c r="AO177" s="525"/>
      <c r="AP177" s="525"/>
      <c r="AQ177" s="525"/>
      <c r="AR177" s="525"/>
      <c r="AS177" s="525"/>
      <c r="AT177" s="525"/>
      <c r="AU177" s="525"/>
      <c r="AV177" s="525"/>
      <c r="AW177" s="525"/>
      <c r="AX177" s="525"/>
    </row>
    <row r="178" spans="1:50" ht="15">
      <c r="A178" s="1108"/>
      <c r="B178" s="926">
        <v>126</v>
      </c>
      <c r="C178" s="927"/>
      <c r="D178" s="928" t="s">
        <v>1379</v>
      </c>
      <c r="E178" s="928">
        <v>79</v>
      </c>
      <c r="F178" s="929">
        <v>5</v>
      </c>
      <c r="G178" s="930">
        <v>12</v>
      </c>
      <c r="H178" s="942">
        <v>808.96519999999998</v>
      </c>
      <c r="I178" s="943">
        <v>10.2756642708333</v>
      </c>
      <c r="J178" s="943">
        <v>1270.9197754166601</v>
      </c>
      <c r="K178" s="943">
        <v>1.2629159999999999</v>
      </c>
      <c r="L178" s="944">
        <v>0</v>
      </c>
      <c r="M178" s="934">
        <v>5.8908285067425732</v>
      </c>
      <c r="N178" s="934">
        <v>0.30427199991207726</v>
      </c>
      <c r="O178" s="934">
        <v>17.804899493345349</v>
      </c>
      <c r="P178" s="934">
        <v>0</v>
      </c>
      <c r="Q178" s="934">
        <v>0.62848272083124657</v>
      </c>
      <c r="R178" s="935">
        <f t="shared" si="98"/>
        <v>71.632365405297975</v>
      </c>
      <c r="S178" s="898">
        <f t="shared" si="99"/>
        <v>83.014597879999997</v>
      </c>
      <c r="T178" s="898">
        <f t="shared" si="100"/>
        <v>58.909705039999999</v>
      </c>
      <c r="U178" s="898">
        <f t="shared" si="101"/>
        <v>29.996337879999999</v>
      </c>
      <c r="V178" s="898">
        <f t="shared" si="102"/>
        <v>0</v>
      </c>
      <c r="W178" s="945">
        <f t="shared" si="103"/>
        <v>0</v>
      </c>
      <c r="X178" s="656">
        <f t="shared" si="116"/>
        <v>1</v>
      </c>
      <c r="Y178" s="656">
        <f t="shared" si="116"/>
        <v>0</v>
      </c>
      <c r="Z178" s="656">
        <f t="shared" si="116"/>
        <v>0</v>
      </c>
      <c r="AA178" s="656">
        <f t="shared" si="116"/>
        <v>0</v>
      </c>
      <c r="AB178" s="946">
        <f t="shared" si="116"/>
        <v>0</v>
      </c>
      <c r="AC178" s="1108"/>
      <c r="AD178" s="525"/>
      <c r="AE178" s="525"/>
      <c r="AF178" s="525"/>
      <c r="AG178" s="525"/>
      <c r="AH178" s="525"/>
      <c r="AI178" s="525"/>
      <c r="AJ178" s="525"/>
      <c r="AK178" s="525"/>
      <c r="AL178" s="525"/>
      <c r="AM178" s="525"/>
      <c r="AN178" s="525"/>
      <c r="AO178" s="525"/>
      <c r="AP178" s="525"/>
      <c r="AQ178" s="525"/>
      <c r="AR178" s="525"/>
      <c r="AS178" s="525"/>
      <c r="AT178" s="525"/>
      <c r="AU178" s="525"/>
      <c r="AV178" s="525"/>
      <c r="AW178" s="525"/>
      <c r="AX178" s="525"/>
    </row>
    <row r="179" spans="1:50" ht="15">
      <c r="A179" s="1108"/>
      <c r="B179" s="926">
        <v>127</v>
      </c>
      <c r="C179" s="927"/>
      <c r="D179" s="928" t="s">
        <v>1379</v>
      </c>
      <c r="E179" s="928">
        <v>79</v>
      </c>
      <c r="F179" s="929">
        <v>5</v>
      </c>
      <c r="G179" s="930">
        <v>12</v>
      </c>
      <c r="H179" s="942">
        <v>415.35050000000001</v>
      </c>
      <c r="I179" s="943">
        <v>3.9952830902777698</v>
      </c>
      <c r="J179" s="943">
        <v>729.70107055555502</v>
      </c>
      <c r="K179" s="943">
        <v>4.46</v>
      </c>
      <c r="L179" s="944">
        <v>0</v>
      </c>
      <c r="M179" s="934">
        <v>5.8908285067425732</v>
      </c>
      <c r="N179" s="934">
        <v>0.30427199991207726</v>
      </c>
      <c r="O179" s="934">
        <v>17.804899493345349</v>
      </c>
      <c r="P179" s="934">
        <v>0</v>
      </c>
      <c r="Q179" s="934">
        <v>0.62848272083124657</v>
      </c>
      <c r="R179" s="935">
        <f t="shared" si="98"/>
        <v>59.200550568322349</v>
      </c>
      <c r="S179" s="898">
        <f t="shared" si="99"/>
        <v>56.41</v>
      </c>
      <c r="T179" s="898">
        <f t="shared" si="100"/>
        <v>35.214100099999996</v>
      </c>
      <c r="U179" s="898">
        <f t="shared" si="101"/>
        <v>21.376175949999997</v>
      </c>
      <c r="V179" s="898">
        <f t="shared" si="102"/>
        <v>0</v>
      </c>
      <c r="W179" s="945">
        <f t="shared" si="103"/>
        <v>0</v>
      </c>
      <c r="X179" s="656">
        <f t="shared" si="116"/>
        <v>0</v>
      </c>
      <c r="Y179" s="656">
        <f t="shared" si="116"/>
        <v>0</v>
      </c>
      <c r="Z179" s="656">
        <f t="shared" si="116"/>
        <v>0</v>
      </c>
      <c r="AA179" s="656">
        <f t="shared" si="116"/>
        <v>0</v>
      </c>
      <c r="AB179" s="946">
        <f t="shared" si="116"/>
        <v>0</v>
      </c>
      <c r="AC179" s="1108"/>
      <c r="AD179" s="525"/>
      <c r="AE179" s="525"/>
      <c r="AF179" s="525"/>
      <c r="AG179" s="525"/>
      <c r="AH179" s="525"/>
      <c r="AI179" s="525"/>
      <c r="AJ179" s="525"/>
      <c r="AK179" s="525"/>
      <c r="AL179" s="525"/>
      <c r="AM179" s="525"/>
      <c r="AN179" s="525"/>
      <c r="AO179" s="525"/>
      <c r="AP179" s="525"/>
      <c r="AQ179" s="525"/>
      <c r="AR179" s="525"/>
      <c r="AS179" s="525"/>
      <c r="AT179" s="525"/>
      <c r="AU179" s="525"/>
      <c r="AV179" s="525"/>
      <c r="AW179" s="525"/>
      <c r="AX179" s="525"/>
    </row>
    <row r="180" spans="1:50" ht="15">
      <c r="A180" s="1108"/>
      <c r="B180" s="926">
        <v>128</v>
      </c>
      <c r="C180" s="927"/>
      <c r="D180" s="928" t="s">
        <v>1379</v>
      </c>
      <c r="E180" s="928">
        <v>79</v>
      </c>
      <c r="F180" s="929">
        <v>5</v>
      </c>
      <c r="G180" s="930">
        <v>12</v>
      </c>
      <c r="H180" s="942">
        <v>420.36009999999999</v>
      </c>
      <c r="I180" s="943">
        <v>5.3546301388888802</v>
      </c>
      <c r="J180" s="943">
        <v>725.24422638888802</v>
      </c>
      <c r="K180" s="943">
        <v>4.46</v>
      </c>
      <c r="L180" s="944">
        <v>0</v>
      </c>
      <c r="M180" s="934">
        <v>5.8908285067425732</v>
      </c>
      <c r="N180" s="934">
        <v>0.30427199991207726</v>
      </c>
      <c r="O180" s="934">
        <v>17.804899493345349</v>
      </c>
      <c r="P180" s="934">
        <v>0</v>
      </c>
      <c r="Q180" s="934">
        <v>0.62848272083124657</v>
      </c>
      <c r="R180" s="935">
        <f t="shared" si="98"/>
        <v>52.467890726625157</v>
      </c>
      <c r="S180" s="898">
        <f t="shared" si="99"/>
        <v>56.41</v>
      </c>
      <c r="T180" s="898">
        <f t="shared" si="100"/>
        <v>35.515678019999996</v>
      </c>
      <c r="U180" s="898">
        <f t="shared" si="101"/>
        <v>21.485886189999999</v>
      </c>
      <c r="V180" s="898">
        <f t="shared" si="102"/>
        <v>0</v>
      </c>
      <c r="W180" s="945">
        <f t="shared" si="103"/>
        <v>0</v>
      </c>
      <c r="X180" s="656">
        <f t="shared" si="116"/>
        <v>1</v>
      </c>
      <c r="Y180" s="656">
        <f t="shared" si="116"/>
        <v>0</v>
      </c>
      <c r="Z180" s="656">
        <f t="shared" si="116"/>
        <v>0</v>
      </c>
      <c r="AA180" s="656">
        <f t="shared" si="116"/>
        <v>0</v>
      </c>
      <c r="AB180" s="946">
        <f t="shared" si="116"/>
        <v>0</v>
      </c>
      <c r="AC180" s="1108"/>
      <c r="AD180" s="525"/>
      <c r="AE180" s="525"/>
      <c r="AF180" s="525"/>
      <c r="AG180" s="525"/>
      <c r="AH180" s="525"/>
      <c r="AI180" s="525"/>
      <c r="AJ180" s="525"/>
      <c r="AK180" s="525"/>
      <c r="AL180" s="525"/>
      <c r="AM180" s="525"/>
      <c r="AN180" s="525"/>
      <c r="AO180" s="525"/>
      <c r="AP180" s="525"/>
      <c r="AQ180" s="525"/>
      <c r="AR180" s="525"/>
      <c r="AS180" s="525"/>
      <c r="AT180" s="525"/>
      <c r="AU180" s="525"/>
      <c r="AV180" s="525"/>
      <c r="AW180" s="525"/>
      <c r="AX180" s="525"/>
    </row>
    <row r="181" spans="1:50" ht="15">
      <c r="A181" s="1108"/>
      <c r="B181" s="1045">
        <v>129</v>
      </c>
      <c r="C181" s="927"/>
      <c r="D181" s="928" t="s">
        <v>1379</v>
      </c>
      <c r="E181" s="928">
        <v>79</v>
      </c>
      <c r="F181" s="929">
        <v>5</v>
      </c>
      <c r="G181" s="930">
        <v>12</v>
      </c>
      <c r="H181" s="942">
        <v>422.40019999999998</v>
      </c>
      <c r="I181" s="943">
        <v>4.47601461805555</v>
      </c>
      <c r="J181" s="943">
        <v>750.22873666666601</v>
      </c>
      <c r="K181" s="943">
        <v>4.46</v>
      </c>
      <c r="L181" s="944">
        <v>0</v>
      </c>
      <c r="M181" s="934">
        <v>5.8908285067425732</v>
      </c>
      <c r="N181" s="934">
        <v>0.30427199991207726</v>
      </c>
      <c r="O181" s="934">
        <v>17.804899493345349</v>
      </c>
      <c r="P181" s="934">
        <v>0</v>
      </c>
      <c r="Q181" s="934">
        <v>0.62848272083124657</v>
      </c>
      <c r="R181" s="935">
        <f t="shared" si="98"/>
        <v>60.679319158531754</v>
      </c>
      <c r="S181" s="898">
        <f t="shared" si="99"/>
        <v>56.41</v>
      </c>
      <c r="T181" s="898">
        <f t="shared" si="100"/>
        <v>35.638492040000003</v>
      </c>
      <c r="U181" s="898">
        <f t="shared" si="101"/>
        <v>21.530564380000001</v>
      </c>
      <c r="V181" s="898">
        <f t="shared" si="102"/>
        <v>0</v>
      </c>
      <c r="W181" s="945">
        <f t="shared" si="103"/>
        <v>0</v>
      </c>
      <c r="X181" s="656">
        <f t="shared" si="116"/>
        <v>0</v>
      </c>
      <c r="Y181" s="656">
        <f t="shared" si="116"/>
        <v>0</v>
      </c>
      <c r="Z181" s="656">
        <f t="shared" si="116"/>
        <v>0</v>
      </c>
      <c r="AA181" s="656">
        <f t="shared" si="116"/>
        <v>0</v>
      </c>
      <c r="AB181" s="946">
        <f t="shared" si="116"/>
        <v>0</v>
      </c>
      <c r="AC181" s="1108"/>
      <c r="AD181" s="525"/>
      <c r="AE181" s="525"/>
      <c r="AF181" s="525"/>
      <c r="AG181" s="525"/>
      <c r="AH181" s="525"/>
      <c r="AI181" s="525"/>
      <c r="AJ181" s="525"/>
      <c r="AK181" s="525"/>
      <c r="AL181" s="525"/>
      <c r="AM181" s="525"/>
      <c r="AN181" s="525"/>
      <c r="AO181" s="525"/>
      <c r="AP181" s="525"/>
      <c r="AQ181" s="525"/>
      <c r="AR181" s="525"/>
      <c r="AS181" s="525"/>
      <c r="AT181" s="525"/>
      <c r="AU181" s="525"/>
      <c r="AV181" s="525"/>
      <c r="AW181" s="525"/>
      <c r="AX181" s="525"/>
    </row>
    <row r="182" spans="1:50" ht="15">
      <c r="A182" s="1108"/>
      <c r="B182" s="926">
        <v>130</v>
      </c>
      <c r="C182" s="927"/>
      <c r="D182" s="928" t="s">
        <v>1379</v>
      </c>
      <c r="E182" s="928">
        <v>79</v>
      </c>
      <c r="F182" s="929">
        <v>5</v>
      </c>
      <c r="G182" s="930">
        <v>12</v>
      </c>
      <c r="H182" s="942">
        <v>799.0924</v>
      </c>
      <c r="I182" s="943">
        <v>6.4032999999999998</v>
      </c>
      <c r="J182" s="943">
        <v>1609.3488</v>
      </c>
      <c r="K182" s="943">
        <v>4.2439800000000005</v>
      </c>
      <c r="L182" s="944">
        <v>6.7999999999999996E-3</v>
      </c>
      <c r="M182" s="934">
        <v>5.8908285067425732</v>
      </c>
      <c r="N182" s="934">
        <v>0.30427199991207726</v>
      </c>
      <c r="O182" s="934">
        <v>17.804899493345349</v>
      </c>
      <c r="P182" s="934">
        <v>0</v>
      </c>
      <c r="Q182" s="934">
        <v>0.62848272083124657</v>
      </c>
      <c r="R182" s="935">
        <f t="shared" si="98"/>
        <v>164.85571441617819</v>
      </c>
      <c r="S182" s="898">
        <f t="shared" si="99"/>
        <v>82.304743560000006</v>
      </c>
      <c r="T182" s="898">
        <f t="shared" si="100"/>
        <v>58.315362479999997</v>
      </c>
      <c r="U182" s="898">
        <f t="shared" si="101"/>
        <v>29.78012356</v>
      </c>
      <c r="V182" s="898">
        <f t="shared" si="102"/>
        <v>0</v>
      </c>
      <c r="W182" s="945">
        <f t="shared" si="103"/>
        <v>0</v>
      </c>
      <c r="X182" s="656">
        <f t="shared" si="116"/>
        <v>0</v>
      </c>
      <c r="Y182" s="656">
        <f t="shared" si="116"/>
        <v>0</v>
      </c>
      <c r="Z182" s="656">
        <f t="shared" si="116"/>
        <v>0</v>
      </c>
      <c r="AA182" s="656">
        <f t="shared" si="116"/>
        <v>0</v>
      </c>
      <c r="AB182" s="946">
        <f t="shared" si="116"/>
        <v>0</v>
      </c>
      <c r="AC182" s="1108"/>
      <c r="AD182" s="525"/>
      <c r="AE182" s="525"/>
      <c r="AF182" s="525"/>
      <c r="AG182" s="525"/>
      <c r="AH182" s="525"/>
      <c r="AI182" s="525"/>
      <c r="AJ182" s="525"/>
      <c r="AK182" s="525"/>
      <c r="AL182" s="525"/>
      <c r="AM182" s="525"/>
      <c r="AN182" s="525"/>
      <c r="AO182" s="525"/>
      <c r="AP182" s="525"/>
      <c r="AQ182" s="525"/>
      <c r="AR182" s="525"/>
      <c r="AS182" s="525"/>
      <c r="AT182" s="525"/>
      <c r="AU182" s="525"/>
      <c r="AV182" s="525"/>
      <c r="AW182" s="525"/>
      <c r="AX182" s="525"/>
    </row>
    <row r="183" spans="1:50" ht="15">
      <c r="A183" s="1109"/>
      <c r="B183" s="926">
        <v>132</v>
      </c>
      <c r="C183" s="927"/>
      <c r="D183" s="928" t="s">
        <v>1379</v>
      </c>
      <c r="E183" s="928">
        <v>79</v>
      </c>
      <c r="F183" s="929">
        <v>5</v>
      </c>
      <c r="G183" s="930">
        <v>12</v>
      </c>
      <c r="H183" s="942">
        <v>1110.5989999999999</v>
      </c>
      <c r="I183" s="943">
        <v>13.1896</v>
      </c>
      <c r="J183" s="943">
        <v>1834.3717999999999</v>
      </c>
      <c r="K183" s="943">
        <v>3.3049020000000007</v>
      </c>
      <c r="L183" s="944">
        <v>2.6474039999999994</v>
      </c>
      <c r="M183" s="934">
        <v>5.8908285067425732</v>
      </c>
      <c r="N183" s="934">
        <v>0.30427199991207726</v>
      </c>
      <c r="O183" s="934">
        <v>17.804899493345349</v>
      </c>
      <c r="P183" s="934">
        <v>0</v>
      </c>
      <c r="Q183" s="934">
        <v>0.62848272083124657</v>
      </c>
      <c r="R183" s="935">
        <f t="shared" si="98"/>
        <v>122.14195850339064</v>
      </c>
      <c r="S183" s="898">
        <f t="shared" si="99"/>
        <v>104.70206809999999</v>
      </c>
      <c r="T183" s="898">
        <f t="shared" si="100"/>
        <v>77.068059799999986</v>
      </c>
      <c r="U183" s="898">
        <f t="shared" si="101"/>
        <v>36.602118099999998</v>
      </c>
      <c r="V183" s="898">
        <f t="shared" si="102"/>
        <v>0</v>
      </c>
      <c r="W183" s="945">
        <f t="shared" si="103"/>
        <v>0</v>
      </c>
      <c r="X183" s="656">
        <f t="shared" si="116"/>
        <v>0</v>
      </c>
      <c r="Y183" s="656">
        <f t="shared" si="116"/>
        <v>0</v>
      </c>
      <c r="Z183" s="656">
        <f t="shared" si="116"/>
        <v>0</v>
      </c>
      <c r="AA183" s="656">
        <f t="shared" si="116"/>
        <v>0</v>
      </c>
      <c r="AB183" s="946">
        <f t="shared" si="116"/>
        <v>0</v>
      </c>
      <c r="AC183" s="1108"/>
      <c r="AD183" s="525"/>
      <c r="AE183" s="525"/>
      <c r="AF183" s="525"/>
      <c r="AG183" s="525"/>
      <c r="AH183" s="525"/>
      <c r="AI183" s="525"/>
      <c r="AJ183" s="525"/>
      <c r="AK183" s="525"/>
      <c r="AL183" s="525"/>
      <c r="AM183" s="525"/>
      <c r="AN183" s="525"/>
      <c r="AO183" s="525"/>
      <c r="AP183" s="525"/>
      <c r="AQ183" s="525"/>
      <c r="AR183" s="525"/>
      <c r="AS183" s="525"/>
      <c r="AT183" s="525"/>
      <c r="AU183" s="525"/>
      <c r="AV183" s="525"/>
      <c r="AW183" s="525"/>
      <c r="AX183" s="525"/>
    </row>
    <row r="184" spans="1:50" ht="15">
      <c r="A184" s="1109"/>
      <c r="B184" s="1046" t="s">
        <v>1380</v>
      </c>
      <c r="C184" s="966"/>
      <c r="D184" s="928" t="s">
        <v>1379</v>
      </c>
      <c r="E184" s="928">
        <v>79</v>
      </c>
      <c r="F184" s="968">
        <v>5</v>
      </c>
      <c r="G184" s="965">
        <v>12</v>
      </c>
      <c r="H184" s="958">
        <v>830.68451149999987</v>
      </c>
      <c r="I184" s="959">
        <v>21.18</v>
      </c>
      <c r="J184" s="959">
        <v>2036.8630000000001</v>
      </c>
      <c r="K184" s="959">
        <v>20.051400000000001</v>
      </c>
      <c r="L184" s="944">
        <v>0</v>
      </c>
      <c r="M184" s="934">
        <v>5.8908285067425732</v>
      </c>
      <c r="N184" s="934">
        <v>0.30427199991207726</v>
      </c>
      <c r="O184" s="934">
        <v>17.804899493345349</v>
      </c>
      <c r="P184" s="934">
        <v>0</v>
      </c>
      <c r="Q184" s="934">
        <v>0.62848272083124657</v>
      </c>
      <c r="R184" s="935">
        <f t="shared" si="98"/>
        <v>207.85320257021968</v>
      </c>
      <c r="S184" s="898">
        <f t="shared" si="99"/>
        <v>84.576216376849999</v>
      </c>
      <c r="T184" s="898">
        <f t="shared" si="100"/>
        <v>60.217207592299992</v>
      </c>
      <c r="U184" s="898">
        <f t="shared" si="101"/>
        <v>30.471990801849998</v>
      </c>
      <c r="V184" s="898">
        <f t="shared" si="102"/>
        <v>0</v>
      </c>
      <c r="W184" s="945">
        <f t="shared" si="103"/>
        <v>0</v>
      </c>
      <c r="X184" s="656">
        <f t="shared" si="116"/>
        <v>0</v>
      </c>
      <c r="Y184" s="656">
        <f t="shared" si="116"/>
        <v>0</v>
      </c>
      <c r="Z184" s="656">
        <f t="shared" si="116"/>
        <v>0</v>
      </c>
      <c r="AA184" s="656">
        <f t="shared" si="116"/>
        <v>0</v>
      </c>
      <c r="AB184" s="946">
        <f t="shared" si="116"/>
        <v>0</v>
      </c>
      <c r="AC184" s="1108"/>
      <c r="AD184" s="960"/>
      <c r="AE184" s="960"/>
      <c r="AF184" s="960"/>
      <c r="AG184" s="960"/>
      <c r="AH184" s="960"/>
      <c r="AI184" s="960"/>
      <c r="AJ184" s="960"/>
      <c r="AK184" s="960"/>
      <c r="AL184" s="960"/>
      <c r="AM184" s="960"/>
      <c r="AN184" s="960"/>
      <c r="AO184" s="960"/>
      <c r="AP184" s="960"/>
      <c r="AQ184" s="960"/>
      <c r="AR184" s="960"/>
      <c r="AS184" s="960"/>
      <c r="AT184" s="960"/>
      <c r="AU184" s="960"/>
      <c r="AV184" s="960"/>
      <c r="AW184" s="960"/>
      <c r="AX184" s="960"/>
    </row>
    <row r="185" spans="1:50" ht="15">
      <c r="A185" s="1109"/>
      <c r="B185" s="1047" t="s">
        <v>1381</v>
      </c>
      <c r="C185" s="966"/>
      <c r="D185" s="928" t="s">
        <v>1379</v>
      </c>
      <c r="E185" s="928">
        <v>79</v>
      </c>
      <c r="F185" s="968">
        <v>5</v>
      </c>
      <c r="G185" s="965">
        <v>12</v>
      </c>
      <c r="H185" s="958">
        <v>762.05662583333344</v>
      </c>
      <c r="I185" s="959">
        <v>11.94</v>
      </c>
      <c r="J185" s="959">
        <v>1647.3109999999999</v>
      </c>
      <c r="K185" s="959">
        <v>11.567674023769102</v>
      </c>
      <c r="L185" s="944">
        <v>0</v>
      </c>
      <c r="M185" s="934">
        <v>5.8908285067425732</v>
      </c>
      <c r="N185" s="934">
        <v>0.30427199991207726</v>
      </c>
      <c r="O185" s="934">
        <v>17.804899493345349</v>
      </c>
      <c r="P185" s="934">
        <v>0</v>
      </c>
      <c r="Q185" s="934">
        <v>0.62848272083124657</v>
      </c>
      <c r="R185" s="935">
        <f t="shared" si="98"/>
        <v>164.29572752947692</v>
      </c>
      <c r="S185" s="898">
        <f t="shared" si="99"/>
        <v>79.641871397416679</v>
      </c>
      <c r="T185" s="898">
        <f t="shared" si="100"/>
        <v>56.08580887516667</v>
      </c>
      <c r="U185" s="898">
        <f t="shared" si="101"/>
        <v>28.969040105750004</v>
      </c>
      <c r="V185" s="898">
        <f t="shared" si="102"/>
        <v>0</v>
      </c>
      <c r="W185" s="945">
        <f t="shared" si="103"/>
        <v>0</v>
      </c>
      <c r="X185" s="656">
        <f t="shared" si="116"/>
        <v>0</v>
      </c>
      <c r="Y185" s="656">
        <f t="shared" si="116"/>
        <v>0</v>
      </c>
      <c r="Z185" s="656">
        <f t="shared" si="116"/>
        <v>0</v>
      </c>
      <c r="AA185" s="656">
        <f t="shared" si="116"/>
        <v>0</v>
      </c>
      <c r="AB185" s="946">
        <f t="shared" si="116"/>
        <v>0</v>
      </c>
      <c r="AC185" s="1108"/>
      <c r="AD185" s="960"/>
      <c r="AE185" s="960"/>
      <c r="AF185" s="960"/>
      <c r="AG185" s="960"/>
      <c r="AH185" s="960"/>
      <c r="AI185" s="960"/>
      <c r="AJ185" s="960"/>
      <c r="AK185" s="960"/>
      <c r="AL185" s="960"/>
      <c r="AM185" s="960"/>
      <c r="AN185" s="960"/>
      <c r="AO185" s="960"/>
      <c r="AP185" s="960"/>
      <c r="AQ185" s="960"/>
      <c r="AR185" s="960"/>
      <c r="AS185" s="960"/>
      <c r="AT185" s="960"/>
      <c r="AU185" s="960"/>
      <c r="AV185" s="960"/>
      <c r="AW185" s="960"/>
      <c r="AX185" s="960"/>
    </row>
    <row r="186" spans="1:50" ht="15">
      <c r="A186" s="1109"/>
      <c r="B186" s="1048" t="s">
        <v>1382</v>
      </c>
      <c r="C186" s="1049"/>
      <c r="D186" s="1050" t="s">
        <v>1379</v>
      </c>
      <c r="E186" s="928">
        <v>79</v>
      </c>
      <c r="F186" s="1051">
        <v>5</v>
      </c>
      <c r="G186" s="1052">
        <v>12</v>
      </c>
      <c r="H186" s="1053">
        <v>830.68451149999987</v>
      </c>
      <c r="I186" s="1054">
        <v>11.94</v>
      </c>
      <c r="J186" s="1054">
        <v>1795.6614862146123</v>
      </c>
      <c r="K186" s="1054">
        <v>11.567674023769102</v>
      </c>
      <c r="L186" s="944">
        <v>0</v>
      </c>
      <c r="M186" s="934">
        <v>5.8908285067425732</v>
      </c>
      <c r="N186" s="934">
        <v>0.30427199991207726</v>
      </c>
      <c r="O186" s="934">
        <v>17.804899493345349</v>
      </c>
      <c r="P186" s="934">
        <v>0</v>
      </c>
      <c r="Q186" s="934">
        <v>0.62848272083124657</v>
      </c>
      <c r="R186" s="935">
        <f t="shared" si="98"/>
        <v>182.58378859947916</v>
      </c>
      <c r="S186" s="898">
        <f t="shared" si="99"/>
        <v>84.576216376849999</v>
      </c>
      <c r="T186" s="898">
        <f t="shared" si="100"/>
        <v>60.217207592299992</v>
      </c>
      <c r="U186" s="898">
        <f t="shared" si="101"/>
        <v>30.471990801849998</v>
      </c>
      <c r="V186" s="898">
        <f t="shared" si="102"/>
        <v>0</v>
      </c>
      <c r="W186" s="945">
        <f t="shared" si="103"/>
        <v>0</v>
      </c>
      <c r="X186" s="656">
        <f t="shared" si="116"/>
        <v>0</v>
      </c>
      <c r="Y186" s="656">
        <f t="shared" si="116"/>
        <v>0</v>
      </c>
      <c r="Z186" s="656">
        <f t="shared" si="116"/>
        <v>0</v>
      </c>
      <c r="AA186" s="656">
        <f t="shared" si="116"/>
        <v>0</v>
      </c>
      <c r="AB186" s="946">
        <f t="shared" si="116"/>
        <v>0</v>
      </c>
      <c r="AC186" s="1108"/>
      <c r="AD186" s="525"/>
      <c r="AE186" s="525"/>
      <c r="AF186" s="525"/>
      <c r="AG186" s="525"/>
      <c r="AH186" s="525"/>
      <c r="AI186" s="525"/>
      <c r="AJ186" s="525"/>
      <c r="AK186" s="525"/>
      <c r="AL186" s="525"/>
      <c r="AM186" s="525"/>
      <c r="AN186" s="525"/>
      <c r="AO186" s="525"/>
      <c r="AP186" s="525"/>
      <c r="AQ186" s="525"/>
      <c r="AR186" s="525"/>
      <c r="AS186" s="525"/>
      <c r="AT186" s="525"/>
      <c r="AU186" s="525"/>
      <c r="AV186" s="525"/>
      <c r="AW186" s="525"/>
      <c r="AX186" s="525"/>
    </row>
    <row r="187" spans="1:50" ht="15">
      <c r="A187" s="1109"/>
      <c r="B187" s="965" t="s">
        <v>1383</v>
      </c>
      <c r="C187" s="966"/>
      <c r="D187" s="928" t="s">
        <v>1379</v>
      </c>
      <c r="E187" s="928">
        <v>79</v>
      </c>
      <c r="F187" s="968">
        <v>5</v>
      </c>
      <c r="G187" s="965">
        <v>12</v>
      </c>
      <c r="H187" s="958">
        <v>673.62711586666637</v>
      </c>
      <c r="I187" s="959">
        <v>10.41</v>
      </c>
      <c r="J187" s="959">
        <v>1644.604</v>
      </c>
      <c r="K187" s="959">
        <v>6.4462116040955628</v>
      </c>
      <c r="L187" s="944">
        <v>0</v>
      </c>
      <c r="M187" s="934">
        <v>5.8908285067425732</v>
      </c>
      <c r="N187" s="934">
        <v>0.30427199991207726</v>
      </c>
      <c r="O187" s="934">
        <v>17.804899493345349</v>
      </c>
      <c r="P187" s="934">
        <v>0</v>
      </c>
      <c r="Q187" s="934">
        <v>0.62848272083124657</v>
      </c>
      <c r="R187" s="935">
        <f t="shared" si="98"/>
        <v>188.52505408155409</v>
      </c>
      <c r="S187" s="898">
        <f t="shared" si="99"/>
        <v>73.283789630813317</v>
      </c>
      <c r="T187" s="898">
        <f t="shared" si="100"/>
        <v>50.762352375173315</v>
      </c>
      <c r="U187" s="898">
        <f t="shared" si="101"/>
        <v>27.032433837479992</v>
      </c>
      <c r="V187" s="898">
        <f t="shared" si="102"/>
        <v>0</v>
      </c>
      <c r="W187" s="945">
        <f t="shared" si="103"/>
        <v>0</v>
      </c>
      <c r="X187" s="656">
        <f t="shared" si="116"/>
        <v>0</v>
      </c>
      <c r="Y187" s="656">
        <f t="shared" si="116"/>
        <v>0</v>
      </c>
      <c r="Z187" s="656">
        <f t="shared" si="116"/>
        <v>0</v>
      </c>
      <c r="AA187" s="656">
        <f t="shared" si="116"/>
        <v>0</v>
      </c>
      <c r="AB187" s="946">
        <f t="shared" si="116"/>
        <v>0</v>
      </c>
      <c r="AC187" s="1108"/>
      <c r="AD187" s="525"/>
      <c r="AE187" s="525"/>
      <c r="AF187" s="525"/>
      <c r="AG187" s="525"/>
      <c r="AH187" s="525"/>
      <c r="AI187" s="525"/>
      <c r="AJ187" s="525"/>
      <c r="AK187" s="525"/>
      <c r="AL187" s="525"/>
      <c r="AM187" s="525"/>
      <c r="AN187" s="525"/>
      <c r="AO187" s="525"/>
      <c r="AP187" s="525"/>
      <c r="AQ187" s="525"/>
      <c r="AR187" s="525"/>
      <c r="AS187" s="525"/>
      <c r="AT187" s="525"/>
      <c r="AU187" s="525"/>
      <c r="AV187" s="525"/>
      <c r="AW187" s="525"/>
      <c r="AX187" s="525"/>
    </row>
    <row r="188" spans="1:50" ht="15">
      <c r="A188" s="1108"/>
      <c r="B188" s="1052" t="s">
        <v>1384</v>
      </c>
      <c r="C188" s="1049"/>
      <c r="D188" s="1050" t="s">
        <v>1379</v>
      </c>
      <c r="E188" s="928">
        <v>79</v>
      </c>
      <c r="F188" s="1051">
        <v>5</v>
      </c>
      <c r="G188" s="1052">
        <v>12</v>
      </c>
      <c r="H188" s="1053">
        <v>830.68451149999987</v>
      </c>
      <c r="I188" s="1054">
        <v>10.41</v>
      </c>
      <c r="J188" s="1054">
        <v>2028.0464342551088</v>
      </c>
      <c r="K188" s="1054">
        <v>6.4462116040955628</v>
      </c>
      <c r="L188" s="944">
        <v>0</v>
      </c>
      <c r="M188" s="934">
        <v>5.8908285067425732</v>
      </c>
      <c r="N188" s="934">
        <v>0.30427199991207726</v>
      </c>
      <c r="O188" s="934">
        <v>17.804899493345349</v>
      </c>
      <c r="P188" s="934">
        <v>0</v>
      </c>
      <c r="Q188" s="934">
        <v>0.62848272083124657</v>
      </c>
      <c r="R188" s="935">
        <f t="shared" si="98"/>
        <v>240.45692011695661</v>
      </c>
      <c r="S188" s="898">
        <f t="shared" si="99"/>
        <v>84.576216376849999</v>
      </c>
      <c r="T188" s="898">
        <f t="shared" si="100"/>
        <v>60.217207592299992</v>
      </c>
      <c r="U188" s="898">
        <f t="shared" si="101"/>
        <v>30.471990801849998</v>
      </c>
      <c r="V188" s="898">
        <f t="shared" si="102"/>
        <v>0</v>
      </c>
      <c r="W188" s="945">
        <f t="shared" si="103"/>
        <v>0</v>
      </c>
      <c r="X188" s="656">
        <f t="shared" si="116"/>
        <v>0</v>
      </c>
      <c r="Y188" s="656">
        <f t="shared" si="116"/>
        <v>0</v>
      </c>
      <c r="Z188" s="656">
        <f t="shared" si="116"/>
        <v>0</v>
      </c>
      <c r="AA188" s="656">
        <f t="shared" si="116"/>
        <v>0</v>
      </c>
      <c r="AB188" s="946">
        <f t="shared" si="116"/>
        <v>0</v>
      </c>
      <c r="AC188" s="1108"/>
      <c r="AD188" s="525"/>
      <c r="AE188" s="525"/>
      <c r="AF188" s="525"/>
      <c r="AG188" s="525"/>
      <c r="AH188" s="525"/>
      <c r="AI188" s="525"/>
      <c r="AJ188" s="525"/>
      <c r="AK188" s="525"/>
      <c r="AL188" s="525"/>
      <c r="AM188" s="525"/>
      <c r="AN188" s="525"/>
      <c r="AO188" s="525"/>
      <c r="AP188" s="525"/>
      <c r="AQ188" s="525"/>
      <c r="AR188" s="525"/>
      <c r="AS188" s="525"/>
      <c r="AT188" s="525"/>
      <c r="AU188" s="525"/>
      <c r="AV188" s="525"/>
      <c r="AW188" s="525"/>
      <c r="AX188" s="525"/>
    </row>
    <row r="189" spans="1:50" ht="15">
      <c r="A189" s="1108"/>
      <c r="B189" s="965" t="s">
        <v>1385</v>
      </c>
      <c r="C189" s="966"/>
      <c r="D189" s="928" t="s">
        <v>1379</v>
      </c>
      <c r="E189" s="928">
        <v>79</v>
      </c>
      <c r="F189" s="968">
        <v>5</v>
      </c>
      <c r="G189" s="965">
        <v>12</v>
      </c>
      <c r="H189" s="958">
        <v>621.54737108333325</v>
      </c>
      <c r="I189" s="959">
        <v>16.603000000000002</v>
      </c>
      <c r="J189" s="959">
        <v>1318.7682833333333</v>
      </c>
      <c r="K189" s="959">
        <v>9.8870000000000005</v>
      </c>
      <c r="L189" s="944">
        <v>0</v>
      </c>
      <c r="M189" s="934">
        <v>5.8908285067425732</v>
      </c>
      <c r="N189" s="934">
        <v>0.30427199991207726</v>
      </c>
      <c r="O189" s="934">
        <v>17.804899493345349</v>
      </c>
      <c r="P189" s="934">
        <v>0</v>
      </c>
      <c r="Q189" s="934">
        <v>0.62848272083124657</v>
      </c>
      <c r="R189" s="935">
        <f t="shared" si="98"/>
        <v>105.32888664454407</v>
      </c>
      <c r="S189" s="898">
        <f t="shared" si="99"/>
        <v>69.539255980891667</v>
      </c>
      <c r="T189" s="898">
        <f t="shared" si="100"/>
        <v>47.627151739216657</v>
      </c>
      <c r="U189" s="898">
        <f t="shared" si="101"/>
        <v>25.891887426724999</v>
      </c>
      <c r="V189" s="898">
        <f t="shared" si="102"/>
        <v>0</v>
      </c>
      <c r="W189" s="945">
        <f t="shared" si="103"/>
        <v>0</v>
      </c>
      <c r="X189" s="656">
        <f t="shared" si="116"/>
        <v>0</v>
      </c>
      <c r="Y189" s="656">
        <f t="shared" si="116"/>
        <v>0</v>
      </c>
      <c r="Z189" s="656">
        <f t="shared" si="116"/>
        <v>0</v>
      </c>
      <c r="AA189" s="656">
        <f t="shared" si="116"/>
        <v>0</v>
      </c>
      <c r="AB189" s="946">
        <f t="shared" si="116"/>
        <v>0</v>
      </c>
      <c r="AC189" s="1108"/>
      <c r="AD189" s="525"/>
      <c r="AE189" s="525"/>
      <c r="AF189" s="525"/>
      <c r="AG189" s="525"/>
      <c r="AH189" s="525"/>
      <c r="AI189" s="525"/>
      <c r="AJ189" s="525"/>
      <c r="AK189" s="525"/>
      <c r="AL189" s="525"/>
      <c r="AM189" s="525"/>
      <c r="AN189" s="525"/>
      <c r="AO189" s="525"/>
      <c r="AP189" s="525"/>
      <c r="AQ189" s="525"/>
      <c r="AR189" s="525"/>
      <c r="AS189" s="525"/>
      <c r="AT189" s="525"/>
      <c r="AU189" s="525"/>
      <c r="AV189" s="525"/>
      <c r="AW189" s="525"/>
      <c r="AX189" s="525"/>
    </row>
    <row r="190" spans="1:50" ht="15">
      <c r="A190" s="1108"/>
      <c r="B190" s="1052" t="s">
        <v>1386</v>
      </c>
      <c r="C190" s="1049"/>
      <c r="D190" s="1050" t="s">
        <v>1379</v>
      </c>
      <c r="E190" s="928">
        <v>79</v>
      </c>
      <c r="F190" s="1051">
        <v>5</v>
      </c>
      <c r="G190" s="1052">
        <v>12</v>
      </c>
      <c r="H190" s="1053">
        <v>830.68451149999987</v>
      </c>
      <c r="I190" s="1054">
        <v>16.603000000000002</v>
      </c>
      <c r="J190" s="1054">
        <v>1762.505061059245</v>
      </c>
      <c r="K190" s="1054">
        <v>9.8870000000000005</v>
      </c>
      <c r="L190" s="944">
        <v>0</v>
      </c>
      <c r="M190" s="934">
        <v>5.8908285067425732</v>
      </c>
      <c r="N190" s="934">
        <v>0.30427199991207726</v>
      </c>
      <c r="O190" s="934">
        <v>17.804899493345349</v>
      </c>
      <c r="P190" s="934">
        <v>0</v>
      </c>
      <c r="Q190" s="934">
        <v>0.62848272083124657</v>
      </c>
      <c r="R190" s="935">
        <f t="shared" si="98"/>
        <v>159.14515034672436</v>
      </c>
      <c r="S190" s="898">
        <f t="shared" si="99"/>
        <v>84.576216376849999</v>
      </c>
      <c r="T190" s="898">
        <f t="shared" si="100"/>
        <v>60.217207592299992</v>
      </c>
      <c r="U190" s="898">
        <f t="shared" si="101"/>
        <v>30.471990801849998</v>
      </c>
      <c r="V190" s="898">
        <f t="shared" si="102"/>
        <v>0</v>
      </c>
      <c r="W190" s="945">
        <f t="shared" si="103"/>
        <v>0</v>
      </c>
      <c r="X190" s="656">
        <f t="shared" si="116"/>
        <v>0</v>
      </c>
      <c r="Y190" s="656">
        <f t="shared" si="116"/>
        <v>0</v>
      </c>
      <c r="Z190" s="656">
        <f t="shared" si="116"/>
        <v>0</v>
      </c>
      <c r="AA190" s="656">
        <f t="shared" si="116"/>
        <v>0</v>
      </c>
      <c r="AB190" s="946">
        <f t="shared" si="116"/>
        <v>0</v>
      </c>
      <c r="AC190" s="1108"/>
      <c r="AD190" s="525"/>
      <c r="AE190" s="525"/>
      <c r="AF190" s="525"/>
      <c r="AG190" s="525"/>
      <c r="AH190" s="525"/>
      <c r="AI190" s="525"/>
      <c r="AJ190" s="525"/>
      <c r="AK190" s="525"/>
      <c r="AL190" s="525"/>
      <c r="AM190" s="525"/>
      <c r="AN190" s="525"/>
      <c r="AO190" s="525"/>
      <c r="AP190" s="525"/>
      <c r="AQ190" s="525"/>
      <c r="AR190" s="525"/>
      <c r="AS190" s="525"/>
      <c r="AT190" s="525"/>
      <c r="AU190" s="525"/>
      <c r="AV190" s="525"/>
      <c r="AW190" s="525"/>
      <c r="AX190" s="525"/>
    </row>
    <row r="191" spans="1:50" ht="15">
      <c r="A191" s="1108"/>
      <c r="B191" s="926">
        <v>142</v>
      </c>
      <c r="C191" s="927"/>
      <c r="D191" s="928" t="s">
        <v>135</v>
      </c>
      <c r="E191" s="928">
        <v>58</v>
      </c>
      <c r="F191" s="929">
        <v>5</v>
      </c>
      <c r="G191" s="930">
        <v>12</v>
      </c>
      <c r="H191" s="942">
        <v>855.82259999999997</v>
      </c>
      <c r="I191" s="943">
        <v>168.759416666666</v>
      </c>
      <c r="J191" s="943">
        <v>3741.0067469444398</v>
      </c>
      <c r="K191" s="943">
        <v>1.8989760000000001E-2</v>
      </c>
      <c r="L191" s="944">
        <v>6.7999999999999996E-3</v>
      </c>
      <c r="M191" s="934">
        <v>5.8908285067425732</v>
      </c>
      <c r="N191" s="934">
        <v>0.30427199991207726</v>
      </c>
      <c r="O191" s="934">
        <v>17.804899493345349</v>
      </c>
      <c r="P191" s="934">
        <v>0</v>
      </c>
      <c r="Q191" s="934">
        <v>0.62848272083124657</v>
      </c>
      <c r="R191" s="935">
        <f t="shared" si="98"/>
        <v>95.604408697647926</v>
      </c>
      <c r="S191" s="898">
        <f t="shared" si="99"/>
        <v>86.383644940000011</v>
      </c>
      <c r="T191" s="898">
        <f t="shared" si="100"/>
        <v>61.730520519999999</v>
      </c>
      <c r="U191" s="898">
        <f t="shared" si="101"/>
        <v>31.022514940000001</v>
      </c>
      <c r="V191" s="898">
        <f t="shared" si="102"/>
        <v>0</v>
      </c>
      <c r="W191" s="945">
        <f t="shared" si="103"/>
        <v>0</v>
      </c>
      <c r="X191" s="656">
        <f t="shared" si="116"/>
        <v>0</v>
      </c>
      <c r="Y191" s="656">
        <f t="shared" si="116"/>
        <v>0</v>
      </c>
      <c r="Z191" s="656">
        <f t="shared" si="116"/>
        <v>0</v>
      </c>
      <c r="AA191" s="656">
        <f t="shared" si="116"/>
        <v>0</v>
      </c>
      <c r="AB191" s="946">
        <f t="shared" si="116"/>
        <v>0</v>
      </c>
      <c r="AC191" s="1108"/>
      <c r="AD191" s="525"/>
      <c r="AE191" s="525"/>
      <c r="AF191" s="525"/>
      <c r="AG191" s="525"/>
      <c r="AH191" s="525"/>
      <c r="AI191" s="525"/>
      <c r="AJ191" s="525"/>
      <c r="AK191" s="525"/>
      <c r="AL191" s="525"/>
      <c r="AM191" s="525"/>
      <c r="AN191" s="525"/>
      <c r="AO191" s="525"/>
      <c r="AP191" s="525"/>
      <c r="AQ191" s="525"/>
      <c r="AR191" s="525"/>
      <c r="AS191" s="525"/>
      <c r="AT191" s="525"/>
      <c r="AU191" s="525"/>
      <c r="AV191" s="525"/>
      <c r="AW191" s="525"/>
      <c r="AX191" s="525"/>
    </row>
    <row r="192" spans="1:50" ht="15">
      <c r="A192" s="1108"/>
      <c r="B192" s="961">
        <v>59</v>
      </c>
      <c r="C192" s="927"/>
      <c r="D192" s="928" t="s">
        <v>1387</v>
      </c>
      <c r="E192" s="928">
        <v>60</v>
      </c>
      <c r="F192" s="929">
        <v>6</v>
      </c>
      <c r="G192" s="930">
        <v>24</v>
      </c>
      <c r="H192" s="942">
        <v>368.73</v>
      </c>
      <c r="I192" s="943">
        <v>2.3782000000000001</v>
      </c>
      <c r="J192" s="943">
        <v>524.40800000000002</v>
      </c>
      <c r="K192" s="943">
        <v>1.7237</v>
      </c>
      <c r="L192" s="944">
        <v>0</v>
      </c>
      <c r="M192" s="934">
        <v>15.425324961910922</v>
      </c>
      <c r="N192" s="934">
        <v>8.5746750380890777</v>
      </c>
      <c r="O192" s="934">
        <v>0</v>
      </c>
      <c r="P192" s="934">
        <v>0</v>
      </c>
      <c r="Q192" s="934">
        <v>0.45950030418770244</v>
      </c>
      <c r="R192" s="935">
        <f t="shared" si="98"/>
        <v>35.321764152007766</v>
      </c>
      <c r="S192" s="898">
        <f t="shared" si="99"/>
        <v>114.65931900000001</v>
      </c>
      <c r="T192" s="898">
        <f t="shared" si="100"/>
        <v>76.795593999999994</v>
      </c>
      <c r="U192" s="898">
        <f t="shared" si="101"/>
        <v>35.562604999999998</v>
      </c>
      <c r="V192" s="898">
        <f t="shared" si="102"/>
        <v>0</v>
      </c>
      <c r="W192" s="945">
        <f t="shared" si="103"/>
        <v>0</v>
      </c>
      <c r="X192" s="656">
        <f t="shared" si="116"/>
        <v>1</v>
      </c>
      <c r="Y192" s="656">
        <f t="shared" si="116"/>
        <v>1</v>
      </c>
      <c r="Z192" s="656">
        <f t="shared" si="116"/>
        <v>1</v>
      </c>
      <c r="AA192" s="656">
        <f t="shared" si="116"/>
        <v>0</v>
      </c>
      <c r="AB192" s="946">
        <f t="shared" si="116"/>
        <v>0</v>
      </c>
      <c r="AC192" s="1108"/>
      <c r="AD192" s="960"/>
      <c r="AE192" s="960"/>
      <c r="AF192" s="960"/>
      <c r="AG192" s="960"/>
      <c r="AH192" s="960"/>
      <c r="AI192" s="960"/>
      <c r="AJ192" s="960"/>
      <c r="AK192" s="960"/>
      <c r="AL192" s="960"/>
      <c r="AM192" s="960"/>
      <c r="AN192" s="960"/>
      <c r="AO192" s="960"/>
      <c r="AP192" s="960"/>
      <c r="AQ192" s="960"/>
      <c r="AR192" s="960"/>
      <c r="AS192" s="960"/>
      <c r="AT192" s="960"/>
      <c r="AU192" s="960"/>
      <c r="AV192" s="960"/>
      <c r="AW192" s="960"/>
      <c r="AX192" s="960"/>
    </row>
    <row r="193" spans="1:50" ht="15">
      <c r="A193" s="1108"/>
      <c r="B193" s="961">
        <v>1040</v>
      </c>
      <c r="C193" s="927"/>
      <c r="D193" s="928" t="s">
        <v>1387</v>
      </c>
      <c r="E193" s="928">
        <v>60</v>
      </c>
      <c r="F193" s="929">
        <v>6</v>
      </c>
      <c r="G193" s="930">
        <v>24</v>
      </c>
      <c r="H193" s="942">
        <v>482.6676755838302</v>
      </c>
      <c r="I193" s="943">
        <v>8.7550458333332752</v>
      </c>
      <c r="J193" s="943">
        <v>829.94</v>
      </c>
      <c r="K193" s="943">
        <v>1.32</v>
      </c>
      <c r="L193" s="944">
        <v>0</v>
      </c>
      <c r="M193" s="934">
        <v>15.425324961910922</v>
      </c>
      <c r="N193" s="934">
        <v>8.5746750380890777</v>
      </c>
      <c r="O193" s="934">
        <v>0</v>
      </c>
      <c r="P193" s="934">
        <v>0</v>
      </c>
      <c r="Q193" s="934">
        <v>0.45950030418770244</v>
      </c>
      <c r="R193" s="935">
        <f t="shared" si="98"/>
        <v>76.426995010057126</v>
      </c>
      <c r="S193" s="898">
        <f t="shared" si="99"/>
        <v>136.34165866360289</v>
      </c>
      <c r="T193" s="898">
        <f t="shared" si="100"/>
        <v>94.774959207128404</v>
      </c>
      <c r="U193" s="898">
        <f t="shared" si="101"/>
        <v>45.64608928916897</v>
      </c>
      <c r="V193" s="898">
        <f t="shared" si="102"/>
        <v>0</v>
      </c>
      <c r="W193" s="945">
        <f t="shared" si="103"/>
        <v>0</v>
      </c>
      <c r="X193" s="656">
        <f t="shared" si="116"/>
        <v>1</v>
      </c>
      <c r="Y193" s="656">
        <f t="shared" si="116"/>
        <v>1</v>
      </c>
      <c r="Z193" s="656">
        <f t="shared" si="116"/>
        <v>0</v>
      </c>
      <c r="AA193" s="656">
        <f t="shared" si="116"/>
        <v>0</v>
      </c>
      <c r="AB193" s="946">
        <f t="shared" si="116"/>
        <v>0</v>
      </c>
      <c r="AC193" s="1108"/>
      <c r="AD193" s="960"/>
      <c r="AE193" s="960"/>
      <c r="AF193" s="960"/>
      <c r="AG193" s="960"/>
      <c r="AH193" s="960"/>
      <c r="AI193" s="960"/>
      <c r="AJ193" s="960"/>
      <c r="AK193" s="960"/>
      <c r="AL193" s="960"/>
      <c r="AM193" s="960"/>
      <c r="AN193" s="960"/>
      <c r="AO193" s="960"/>
      <c r="AP193" s="960"/>
      <c r="AQ193" s="960"/>
      <c r="AR193" s="960"/>
      <c r="AS193" s="960"/>
      <c r="AT193" s="960"/>
      <c r="AU193" s="960"/>
      <c r="AV193" s="960"/>
      <c r="AW193" s="960"/>
      <c r="AX193" s="960"/>
    </row>
    <row r="194" spans="1:50" ht="15">
      <c r="A194" s="1108"/>
      <c r="B194" s="961">
        <v>1043</v>
      </c>
      <c r="C194" s="927"/>
      <c r="D194" s="928" t="s">
        <v>1387</v>
      </c>
      <c r="E194" s="928">
        <v>60</v>
      </c>
      <c r="F194" s="929">
        <v>6</v>
      </c>
      <c r="G194" s="930">
        <v>24</v>
      </c>
      <c r="H194" s="942">
        <v>222.34900854803416</v>
      </c>
      <c r="I194" s="943">
        <v>1.9675041666666562</v>
      </c>
      <c r="J194" s="943">
        <v>315.68</v>
      </c>
      <c r="K194" s="943">
        <v>0.61333333333333329</v>
      </c>
      <c r="L194" s="944">
        <v>0</v>
      </c>
      <c r="M194" s="934">
        <v>15.425324961910922</v>
      </c>
      <c r="N194" s="934">
        <v>8.5746750380890777</v>
      </c>
      <c r="O194" s="934">
        <v>0</v>
      </c>
      <c r="P194" s="934">
        <v>0</v>
      </c>
      <c r="Q194" s="934">
        <v>0.45950030418770244</v>
      </c>
      <c r="R194" s="935">
        <f t="shared" si="98"/>
        <v>20.730720239428258</v>
      </c>
      <c r="S194" s="898">
        <f t="shared" si="99"/>
        <v>91.36</v>
      </c>
      <c r="T194" s="898">
        <f t="shared" si="100"/>
        <v>53.696673548879787</v>
      </c>
      <c r="U194" s="898">
        <f t="shared" si="101"/>
        <v>30.37</v>
      </c>
      <c r="V194" s="898">
        <f t="shared" si="102"/>
        <v>0</v>
      </c>
      <c r="W194" s="945">
        <f t="shared" si="103"/>
        <v>0</v>
      </c>
      <c r="X194" s="656">
        <f t="shared" si="116"/>
        <v>1</v>
      </c>
      <c r="Y194" s="656">
        <f t="shared" si="116"/>
        <v>1</v>
      </c>
      <c r="Z194" s="656">
        <f t="shared" si="116"/>
        <v>1</v>
      </c>
      <c r="AA194" s="656">
        <f t="shared" si="116"/>
        <v>0</v>
      </c>
      <c r="AB194" s="946">
        <f t="shared" si="116"/>
        <v>0</v>
      </c>
      <c r="AC194" s="1108"/>
      <c r="AD194" s="960"/>
      <c r="AE194" s="960"/>
      <c r="AF194" s="960"/>
      <c r="AG194" s="960"/>
      <c r="AH194" s="960"/>
      <c r="AI194" s="960"/>
      <c r="AJ194" s="960"/>
      <c r="AK194" s="960"/>
      <c r="AL194" s="960"/>
      <c r="AM194" s="960"/>
      <c r="AN194" s="960"/>
      <c r="AO194" s="960"/>
      <c r="AP194" s="960"/>
      <c r="AQ194" s="960"/>
      <c r="AR194" s="960"/>
      <c r="AS194" s="960"/>
      <c r="AT194" s="960"/>
      <c r="AU194" s="960"/>
      <c r="AV194" s="960"/>
      <c r="AW194" s="960"/>
      <c r="AX194" s="960"/>
    </row>
    <row r="195" spans="1:50" ht="15">
      <c r="A195" s="1112"/>
      <c r="B195" s="961">
        <v>1041</v>
      </c>
      <c r="C195" s="927"/>
      <c r="D195" s="928" t="s">
        <v>1387</v>
      </c>
      <c r="E195" s="928">
        <v>60</v>
      </c>
      <c r="F195" s="929">
        <v>6</v>
      </c>
      <c r="G195" s="930">
        <v>24</v>
      </c>
      <c r="H195" s="942">
        <v>343.97600506141822</v>
      </c>
      <c r="I195" s="943">
        <v>6.6416666666666652E-2</v>
      </c>
      <c r="J195" s="943">
        <v>570.23</v>
      </c>
      <c r="K195" s="943">
        <v>0</v>
      </c>
      <c r="L195" s="944">
        <v>0</v>
      </c>
      <c r="M195" s="934">
        <v>15.425324961910922</v>
      </c>
      <c r="N195" s="934">
        <v>8.5746750380890777</v>
      </c>
      <c r="O195" s="934">
        <v>0</v>
      </c>
      <c r="P195" s="934">
        <v>0</v>
      </c>
      <c r="Q195" s="934">
        <v>0.45950030418770244</v>
      </c>
      <c r="R195" s="935">
        <f t="shared" si="98"/>
        <v>38.053379657946792</v>
      </c>
      <c r="S195" s="898">
        <f t="shared" si="99"/>
        <v>109.9486337631879</v>
      </c>
      <c r="T195" s="898">
        <f t="shared" si="100"/>
        <v>72.889413598691789</v>
      </c>
      <c r="U195" s="898">
        <f t="shared" si="101"/>
        <v>33.371876447935513</v>
      </c>
      <c r="V195" s="898">
        <f t="shared" si="102"/>
        <v>0</v>
      </c>
      <c r="W195" s="945">
        <f t="shared" si="103"/>
        <v>0</v>
      </c>
      <c r="X195" s="656">
        <f t="shared" si="116"/>
        <v>1</v>
      </c>
      <c r="Y195" s="656">
        <f t="shared" si="116"/>
        <v>1</v>
      </c>
      <c r="Z195" s="656">
        <f t="shared" si="116"/>
        <v>0</v>
      </c>
      <c r="AA195" s="656">
        <f t="shared" si="116"/>
        <v>0</v>
      </c>
      <c r="AB195" s="946">
        <f t="shared" si="116"/>
        <v>0</v>
      </c>
      <c r="AC195" s="1108"/>
      <c r="AD195" s="1055"/>
      <c r="AE195" s="1055"/>
      <c r="AF195" s="1055"/>
      <c r="AG195" s="1055"/>
      <c r="AH195" s="1055"/>
      <c r="AI195" s="1055"/>
      <c r="AJ195" s="1055"/>
      <c r="AK195" s="1055"/>
      <c r="AL195" s="1055"/>
      <c r="AM195" s="1055"/>
      <c r="AN195" s="1055"/>
      <c r="AO195" s="1055"/>
      <c r="AP195" s="1055"/>
      <c r="AQ195" s="1055"/>
      <c r="AR195" s="1055"/>
      <c r="AS195" s="1055"/>
      <c r="AT195" s="1055"/>
      <c r="AU195" s="1055"/>
      <c r="AV195" s="1055"/>
      <c r="AW195" s="1055"/>
      <c r="AX195" s="1055"/>
    </row>
    <row r="196" spans="1:50" ht="15">
      <c r="A196" s="1109"/>
      <c r="B196" s="963" t="s">
        <v>1388</v>
      </c>
      <c r="C196" s="927"/>
      <c r="D196" s="928" t="s">
        <v>1387</v>
      </c>
      <c r="E196" s="928">
        <v>60</v>
      </c>
      <c r="F196" s="929">
        <v>6</v>
      </c>
      <c r="G196" s="930">
        <v>48</v>
      </c>
      <c r="H196" s="958">
        <v>383.10530699999981</v>
      </c>
      <c r="I196" s="959">
        <v>3.2400000000000091</v>
      </c>
      <c r="J196" s="959">
        <v>588.61349999999993</v>
      </c>
      <c r="K196" s="959">
        <v>2.2467581475128644</v>
      </c>
      <c r="L196" s="944">
        <v>0</v>
      </c>
      <c r="M196" s="934">
        <v>15.425324961910922</v>
      </c>
      <c r="N196" s="934">
        <v>8.5746750380890777</v>
      </c>
      <c r="O196" s="934">
        <v>0</v>
      </c>
      <c r="P196" s="934">
        <v>0</v>
      </c>
      <c r="Q196" s="934">
        <v>0.45950030418770244</v>
      </c>
      <c r="R196" s="935">
        <f t="shared" si="98"/>
        <v>46.699416709622248</v>
      </c>
      <c r="S196" s="898">
        <f t="shared" si="99"/>
        <v>117.39493992209995</v>
      </c>
      <c r="T196" s="898">
        <f t="shared" si="100"/>
        <v>79.064017444599969</v>
      </c>
      <c r="U196" s="898">
        <f t="shared" si="101"/>
        <v>36.834819669499979</v>
      </c>
      <c r="V196" s="898">
        <f t="shared" si="102"/>
        <v>0</v>
      </c>
      <c r="W196" s="945">
        <f t="shared" si="103"/>
        <v>0</v>
      </c>
      <c r="X196" s="656">
        <f t="shared" si="116"/>
        <v>1</v>
      </c>
      <c r="Y196" s="656">
        <f t="shared" si="116"/>
        <v>1</v>
      </c>
      <c r="Z196" s="656">
        <f t="shared" si="116"/>
        <v>0</v>
      </c>
      <c r="AA196" s="656">
        <f t="shared" si="116"/>
        <v>0</v>
      </c>
      <c r="AB196" s="946">
        <f t="shared" si="116"/>
        <v>0</v>
      </c>
      <c r="AC196" s="1108"/>
      <c r="AD196" s="960"/>
      <c r="AE196" s="960"/>
      <c r="AF196" s="960"/>
      <c r="AG196" s="960"/>
      <c r="AH196" s="960"/>
      <c r="AI196" s="960"/>
      <c r="AJ196" s="960"/>
      <c r="AK196" s="960"/>
      <c r="AL196" s="960"/>
      <c r="AM196" s="960"/>
      <c r="AN196" s="960"/>
      <c r="AO196" s="960"/>
      <c r="AP196" s="960"/>
      <c r="AQ196" s="960"/>
      <c r="AR196" s="960"/>
      <c r="AS196" s="960"/>
      <c r="AT196" s="960"/>
      <c r="AU196" s="960"/>
      <c r="AV196" s="960"/>
      <c r="AW196" s="960"/>
      <c r="AX196" s="960"/>
    </row>
    <row r="197" spans="1:50" ht="15">
      <c r="A197" s="1109"/>
      <c r="B197" s="957" t="s">
        <v>1389</v>
      </c>
      <c r="C197" s="927"/>
      <c r="D197" s="928" t="s">
        <v>1387</v>
      </c>
      <c r="E197" s="928">
        <v>60</v>
      </c>
      <c r="F197" s="929">
        <v>6</v>
      </c>
      <c r="G197" s="930">
        <v>24</v>
      </c>
      <c r="H197" s="958">
        <v>325.36247699999996</v>
      </c>
      <c r="I197" s="959">
        <v>2.0600000000000591</v>
      </c>
      <c r="J197" s="959">
        <v>553.62533333333374</v>
      </c>
      <c r="K197" s="959">
        <v>0.42096891891891891</v>
      </c>
      <c r="L197" s="944">
        <v>0</v>
      </c>
      <c r="M197" s="934">
        <v>15.425324961910922</v>
      </c>
      <c r="N197" s="934">
        <v>8.5746750380890777</v>
      </c>
      <c r="O197" s="934">
        <v>0</v>
      </c>
      <c r="P197" s="934">
        <v>0</v>
      </c>
      <c r="Q197" s="934">
        <v>0.45950030418770244</v>
      </c>
      <c r="R197" s="935">
        <f t="shared" si="98"/>
        <v>42.90757426389824</v>
      </c>
      <c r="S197" s="898">
        <f t="shared" si="99"/>
        <v>106.40647937309998</v>
      </c>
      <c r="T197" s="898">
        <f t="shared" si="100"/>
        <v>69.9521988706</v>
      </c>
      <c r="U197" s="898">
        <f t="shared" si="101"/>
        <v>31.724579214499993</v>
      </c>
      <c r="V197" s="898">
        <f t="shared" si="102"/>
        <v>0</v>
      </c>
      <c r="W197" s="945">
        <f t="shared" si="103"/>
        <v>0</v>
      </c>
      <c r="X197" s="656">
        <f t="shared" si="116"/>
        <v>1</v>
      </c>
      <c r="Y197" s="656">
        <f t="shared" si="116"/>
        <v>1</v>
      </c>
      <c r="Z197" s="656">
        <f t="shared" si="116"/>
        <v>0</v>
      </c>
      <c r="AA197" s="656">
        <f t="shared" si="116"/>
        <v>0</v>
      </c>
      <c r="AB197" s="946">
        <f t="shared" si="116"/>
        <v>0</v>
      </c>
      <c r="AC197" s="1108"/>
      <c r="AD197" s="960"/>
      <c r="AE197" s="960"/>
      <c r="AF197" s="960"/>
      <c r="AG197" s="960"/>
      <c r="AH197" s="960"/>
      <c r="AI197" s="960"/>
      <c r="AJ197" s="960"/>
      <c r="AK197" s="960"/>
      <c r="AL197" s="960"/>
      <c r="AM197" s="960"/>
      <c r="AN197" s="960"/>
      <c r="AO197" s="960"/>
      <c r="AP197" s="960"/>
      <c r="AQ197" s="960"/>
      <c r="AR197" s="960"/>
      <c r="AS197" s="960"/>
      <c r="AT197" s="960"/>
      <c r="AU197" s="960"/>
      <c r="AV197" s="960"/>
      <c r="AW197" s="960"/>
      <c r="AX197" s="960"/>
    </row>
    <row r="198" spans="1:50" ht="15">
      <c r="A198" s="1109"/>
      <c r="B198" s="957" t="s">
        <v>1390</v>
      </c>
      <c r="C198" s="927"/>
      <c r="D198" s="928" t="s">
        <v>1387</v>
      </c>
      <c r="E198" s="928">
        <v>60</v>
      </c>
      <c r="F198" s="929">
        <v>6</v>
      </c>
      <c r="G198" s="930">
        <v>24</v>
      </c>
      <c r="H198" s="958">
        <v>300.76823698888921</v>
      </c>
      <c r="I198" s="959">
        <v>2.0699999999999932</v>
      </c>
      <c r="J198" s="959">
        <v>502.79464999999993</v>
      </c>
      <c r="K198" s="959">
        <v>1.5120606060606061</v>
      </c>
      <c r="L198" s="944">
        <v>0</v>
      </c>
      <c r="M198" s="934">
        <v>15.425324961910922</v>
      </c>
      <c r="N198" s="934">
        <v>8.5746750380890777</v>
      </c>
      <c r="O198" s="934">
        <v>0</v>
      </c>
      <c r="P198" s="934">
        <v>0</v>
      </c>
      <c r="Q198" s="934">
        <v>0.45950030418770244</v>
      </c>
      <c r="R198" s="935">
        <f t="shared" ref="R198:R229" si="117">365/1000*((($J198-$H198)*Q198)+($I198*(M198-(24*Q198)))+($K198*N198)+($L198*P198))</f>
        <v>41.938162056184183</v>
      </c>
      <c r="S198" s="898">
        <f t="shared" ref="S198:S229" si="118">IF(($H198&lt;(VLOOKUP($F198,Product_Class,9,FALSE))),(VLOOKUP($F198,Product_Class,10,FALSE)),((VLOOKUP($F198,Product_Class,7,FALSE)*$H198)+(VLOOKUP($F198,Product_Class,8,FALSE))))</f>
        <v>101.72619549898562</v>
      </c>
      <c r="T198" s="898">
        <f t="shared" ref="T198:T229" si="119">IF(($H198&lt;(VLOOKUP($F198,Product_Class,13,FALSE))),(VLOOKUP($F198,Product_Class,14,FALSE)),((VLOOKUP($F198,Product_Class,11,FALSE)*$H198)+(VLOOKUP($F198,Product_Class,12,FALSE))))</f>
        <v>66.071227796846713</v>
      </c>
      <c r="U198" s="898">
        <f t="shared" ref="U198:U229" si="120">IF(($H198&lt;(VLOOKUP($F198,Product_Class,17,FALSE))),(VLOOKUP($F198,Product_Class,18,FALSE)),((VLOOKUP($F198,Product_Class,15,FALSE)*$H198)+(VLOOKUP($F198,Product_Class,16,FALSE))))</f>
        <v>30.37</v>
      </c>
      <c r="V198" s="898">
        <f t="shared" ref="V198:V229" si="121">IF(($H198&lt;(VLOOKUP($F198,Product_Class,21,FALSE))),(VLOOKUP($F198,Product_Class,22,FALSE)),((VLOOKUP($F198,Product_Class,19,FALSE)*$H198)+(VLOOKUP($F198,Product_Class,20,FALSE))))</f>
        <v>0</v>
      </c>
      <c r="W198" s="945">
        <f t="shared" ref="W198:W229" si="122">IF(($H198&lt;(VLOOKUP($F198,Product_Class,25,FALSE))),(VLOOKUP($F198,Product_Class,26,FALSE)),((VLOOKUP($F198,Product_Class,23,FALSE)*$H198)+(VLOOKUP($F198,Product_Class,24,FALSE))))</f>
        <v>0</v>
      </c>
      <c r="X198" s="656">
        <f t="shared" si="116"/>
        <v>1</v>
      </c>
      <c r="Y198" s="656">
        <f t="shared" si="116"/>
        <v>1</v>
      </c>
      <c r="Z198" s="656">
        <f t="shared" si="116"/>
        <v>0</v>
      </c>
      <c r="AA198" s="656">
        <f t="shared" si="116"/>
        <v>0</v>
      </c>
      <c r="AB198" s="946">
        <f t="shared" si="116"/>
        <v>0</v>
      </c>
      <c r="AC198" s="1108"/>
      <c r="AD198" s="969"/>
      <c r="AE198" s="969"/>
      <c r="AF198" s="969"/>
      <c r="AG198" s="969"/>
      <c r="AH198" s="969"/>
      <c r="AI198" s="969"/>
      <c r="AJ198" s="969"/>
      <c r="AK198" s="969"/>
      <c r="AL198" s="969"/>
      <c r="AM198" s="969"/>
      <c r="AN198" s="969"/>
      <c r="AO198" s="969"/>
      <c r="AP198" s="969"/>
      <c r="AQ198" s="969"/>
      <c r="AR198" s="969"/>
      <c r="AS198" s="969"/>
      <c r="AT198" s="969"/>
      <c r="AU198" s="969"/>
      <c r="AV198" s="969"/>
      <c r="AW198" s="969"/>
      <c r="AX198" s="969"/>
    </row>
    <row r="199" spans="1:50" ht="15">
      <c r="A199" s="1109"/>
      <c r="B199" s="957" t="s">
        <v>1391</v>
      </c>
      <c r="C199" s="927"/>
      <c r="D199" s="928" t="s">
        <v>1387</v>
      </c>
      <c r="E199" s="928">
        <v>60</v>
      </c>
      <c r="F199" s="929">
        <v>6</v>
      </c>
      <c r="G199" s="930">
        <v>24</v>
      </c>
      <c r="H199" s="958">
        <v>300.76823698888921</v>
      </c>
      <c r="I199" s="959">
        <v>4.9799999999999045</v>
      </c>
      <c r="J199" s="959">
        <v>585.76376666666647</v>
      </c>
      <c r="K199" s="959">
        <v>4.3269090909090915</v>
      </c>
      <c r="L199" s="944">
        <v>0</v>
      </c>
      <c r="M199" s="934">
        <v>15.425324961910922</v>
      </c>
      <c r="N199" s="934">
        <v>8.5746750380890777</v>
      </c>
      <c r="O199" s="934">
        <v>0</v>
      </c>
      <c r="P199" s="934">
        <v>0</v>
      </c>
      <c r="Q199" s="934">
        <v>0.45950030418770244</v>
      </c>
      <c r="R199" s="935">
        <f t="shared" si="117"/>
        <v>69.333945075972764</v>
      </c>
      <c r="S199" s="898">
        <f t="shared" si="118"/>
        <v>101.72619549898562</v>
      </c>
      <c r="T199" s="898">
        <f t="shared" si="119"/>
        <v>66.071227796846713</v>
      </c>
      <c r="U199" s="898">
        <f t="shared" si="120"/>
        <v>30.37</v>
      </c>
      <c r="V199" s="898">
        <f t="shared" si="121"/>
        <v>0</v>
      </c>
      <c r="W199" s="945">
        <f t="shared" si="122"/>
        <v>0</v>
      </c>
      <c r="X199" s="656">
        <f t="shared" si="116"/>
        <v>1</v>
      </c>
      <c r="Y199" s="656">
        <f t="shared" si="116"/>
        <v>0</v>
      </c>
      <c r="Z199" s="656">
        <f t="shared" si="116"/>
        <v>0</v>
      </c>
      <c r="AA199" s="656">
        <f t="shared" si="116"/>
        <v>0</v>
      </c>
      <c r="AB199" s="946">
        <f t="shared" si="116"/>
        <v>0</v>
      </c>
      <c r="AC199" s="1108"/>
      <c r="AD199" s="969"/>
      <c r="AE199" s="969"/>
      <c r="AF199" s="969"/>
      <c r="AG199" s="969"/>
      <c r="AH199" s="969"/>
      <c r="AI199" s="969"/>
      <c r="AJ199" s="969"/>
      <c r="AK199" s="969"/>
      <c r="AL199" s="969"/>
      <c r="AM199" s="969"/>
      <c r="AN199" s="969"/>
      <c r="AO199" s="969"/>
      <c r="AP199" s="969"/>
      <c r="AQ199" s="969"/>
      <c r="AR199" s="969"/>
      <c r="AS199" s="969"/>
      <c r="AT199" s="969"/>
      <c r="AU199" s="969"/>
      <c r="AV199" s="969"/>
      <c r="AW199" s="969"/>
      <c r="AX199" s="969"/>
    </row>
    <row r="200" spans="1:50" ht="15">
      <c r="A200" s="1109"/>
      <c r="B200" s="957" t="s">
        <v>1392</v>
      </c>
      <c r="C200" s="927"/>
      <c r="D200" s="928" t="s">
        <v>1387</v>
      </c>
      <c r="E200" s="928">
        <v>60</v>
      </c>
      <c r="F200" s="929">
        <v>6</v>
      </c>
      <c r="G200" s="930">
        <v>24</v>
      </c>
      <c r="H200" s="958">
        <v>300.76823698888921</v>
      </c>
      <c r="I200" s="959">
        <v>2.2399999999999523</v>
      </c>
      <c r="J200" s="959">
        <v>475.02591111111093</v>
      </c>
      <c r="K200" s="959">
        <v>1.9011076923076922</v>
      </c>
      <c r="L200" s="944">
        <v>0</v>
      </c>
      <c r="M200" s="934">
        <v>15.425324961910922</v>
      </c>
      <c r="N200" s="934">
        <v>8.5746750380890777</v>
      </c>
      <c r="O200" s="934">
        <v>0</v>
      </c>
      <c r="P200" s="934">
        <v>0</v>
      </c>
      <c r="Q200" s="934">
        <v>0.45950030418770244</v>
      </c>
      <c r="R200" s="935">
        <f t="shared" si="117"/>
        <v>38.771331673121104</v>
      </c>
      <c r="S200" s="898">
        <f t="shared" si="118"/>
        <v>101.72619549898562</v>
      </c>
      <c r="T200" s="898">
        <f t="shared" si="119"/>
        <v>66.071227796846713</v>
      </c>
      <c r="U200" s="898">
        <f t="shared" si="120"/>
        <v>30.37</v>
      </c>
      <c r="V200" s="898">
        <f t="shared" si="121"/>
        <v>0</v>
      </c>
      <c r="W200" s="945">
        <f t="shared" si="122"/>
        <v>0</v>
      </c>
      <c r="X200" s="656">
        <f t="shared" si="116"/>
        <v>1</v>
      </c>
      <c r="Y200" s="656">
        <f t="shared" si="116"/>
        <v>1</v>
      </c>
      <c r="Z200" s="656">
        <f t="shared" si="116"/>
        <v>0</v>
      </c>
      <c r="AA200" s="656">
        <f t="shared" si="116"/>
        <v>0</v>
      </c>
      <c r="AB200" s="946">
        <f t="shared" si="116"/>
        <v>0</v>
      </c>
      <c r="AC200" s="1108"/>
      <c r="AD200" s="969"/>
      <c r="AE200" s="969"/>
      <c r="AF200" s="969"/>
      <c r="AG200" s="969"/>
      <c r="AH200" s="969"/>
      <c r="AI200" s="969"/>
      <c r="AJ200" s="969"/>
      <c r="AK200" s="969"/>
      <c r="AL200" s="969"/>
      <c r="AM200" s="969"/>
      <c r="AN200" s="969"/>
      <c r="AO200" s="969"/>
      <c r="AP200" s="969"/>
      <c r="AQ200" s="969"/>
      <c r="AR200" s="969"/>
      <c r="AS200" s="969"/>
      <c r="AT200" s="969"/>
      <c r="AU200" s="969"/>
      <c r="AV200" s="969"/>
      <c r="AW200" s="969"/>
      <c r="AX200" s="969"/>
    </row>
    <row r="201" spans="1:50" ht="15">
      <c r="A201" s="1109"/>
      <c r="B201" s="963" t="s">
        <v>1393</v>
      </c>
      <c r="C201" s="927"/>
      <c r="D201" s="1056" t="s">
        <v>143</v>
      </c>
      <c r="E201" s="1056">
        <v>75</v>
      </c>
      <c r="F201" s="929">
        <v>7</v>
      </c>
      <c r="G201" s="930">
        <v>48</v>
      </c>
      <c r="H201" s="1057">
        <v>3725.8915985000003</v>
      </c>
      <c r="I201" s="1058">
        <v>3.3089999999999993</v>
      </c>
      <c r="J201" s="1058">
        <v>5311.0689000000002</v>
      </c>
      <c r="K201" s="959">
        <v>1.532461355529132</v>
      </c>
      <c r="L201" s="944">
        <v>0</v>
      </c>
      <c r="M201" s="934">
        <v>8.1368360000000006</v>
      </c>
      <c r="N201" s="934">
        <v>7.2982320000000005</v>
      </c>
      <c r="O201" s="934">
        <v>8.5649319999999989</v>
      </c>
      <c r="P201" s="934">
        <v>0</v>
      </c>
      <c r="Q201" s="934">
        <v>0.32356399999999996</v>
      </c>
      <c r="R201" s="935">
        <f t="shared" si="117"/>
        <v>191.74150748397471</v>
      </c>
      <c r="S201" s="898">
        <f t="shared" si="118"/>
        <v>254.12061460120006</v>
      </c>
      <c r="T201" s="898">
        <f t="shared" si="119"/>
        <v>191.83492246760002</v>
      </c>
      <c r="U201" s="898">
        <f t="shared" si="120"/>
        <v>0</v>
      </c>
      <c r="V201" s="898">
        <f t="shared" si="121"/>
        <v>0</v>
      </c>
      <c r="W201" s="945">
        <f t="shared" si="122"/>
        <v>0</v>
      </c>
      <c r="X201" s="656">
        <f t="shared" si="116"/>
        <v>1</v>
      </c>
      <c r="Y201" s="656">
        <f t="shared" si="116"/>
        <v>1</v>
      </c>
      <c r="Z201" s="656">
        <f t="shared" si="116"/>
        <v>0</v>
      </c>
      <c r="AA201" s="656">
        <f t="shared" si="116"/>
        <v>0</v>
      </c>
      <c r="AB201" s="946">
        <f t="shared" si="116"/>
        <v>0</v>
      </c>
      <c r="AC201" s="1108"/>
      <c r="AD201" s="10"/>
      <c r="AE201" s="10"/>
      <c r="AF201" s="10"/>
      <c r="AG201" s="10"/>
      <c r="AH201" s="10"/>
      <c r="AI201" s="10"/>
      <c r="AJ201" s="10"/>
      <c r="AK201" s="10"/>
      <c r="AL201" s="10"/>
      <c r="AM201" s="10"/>
      <c r="AN201" s="10"/>
      <c r="AO201" s="10"/>
      <c r="AP201" s="10"/>
      <c r="AQ201" s="10"/>
      <c r="AR201" s="10"/>
      <c r="AS201" s="10"/>
      <c r="AT201" s="10"/>
      <c r="AU201" s="10"/>
      <c r="AV201" s="10"/>
      <c r="AW201" s="10"/>
      <c r="AX201" s="10"/>
    </row>
    <row r="202" spans="1:50" ht="15">
      <c r="A202" s="1108"/>
      <c r="B202" s="957" t="s">
        <v>1394</v>
      </c>
      <c r="C202" s="927"/>
      <c r="D202" s="970" t="s">
        <v>143</v>
      </c>
      <c r="E202" s="1056">
        <v>75</v>
      </c>
      <c r="F202" s="929">
        <v>7</v>
      </c>
      <c r="G202" s="930"/>
      <c r="H202" s="958">
        <v>3736.0601475000008</v>
      </c>
      <c r="I202" s="959">
        <v>10</v>
      </c>
      <c r="J202" s="959">
        <v>5884.166666666667</v>
      </c>
      <c r="K202" s="959">
        <v>0</v>
      </c>
      <c r="L202" s="944">
        <v>0</v>
      </c>
      <c r="M202" s="934">
        <v>8.1368360000000006</v>
      </c>
      <c r="N202" s="934">
        <v>7.2982320000000005</v>
      </c>
      <c r="O202" s="934">
        <v>8.5649319999999989</v>
      </c>
      <c r="P202" s="934">
        <v>0</v>
      </c>
      <c r="Q202" s="934">
        <v>0.32356399999999996</v>
      </c>
      <c r="R202" s="935">
        <f t="shared" si="117"/>
        <v>255.04847228518972</v>
      </c>
      <c r="S202" s="898">
        <f t="shared" si="118"/>
        <v>254.92596368200006</v>
      </c>
      <c r="T202" s="898">
        <f t="shared" si="119"/>
        <v>192.46130508600004</v>
      </c>
      <c r="U202" s="898">
        <f t="shared" si="120"/>
        <v>0</v>
      </c>
      <c r="V202" s="898">
        <f t="shared" si="121"/>
        <v>0</v>
      </c>
      <c r="W202" s="945">
        <f t="shared" si="122"/>
        <v>0</v>
      </c>
      <c r="X202" s="656">
        <f t="shared" si="116"/>
        <v>0</v>
      </c>
      <c r="Y202" s="656">
        <f t="shared" si="116"/>
        <v>0</v>
      </c>
      <c r="Z202" s="656">
        <f t="shared" si="116"/>
        <v>0</v>
      </c>
      <c r="AA202" s="656">
        <f t="shared" si="116"/>
        <v>0</v>
      </c>
      <c r="AB202" s="946">
        <f t="shared" si="116"/>
        <v>0</v>
      </c>
      <c r="AC202" s="1108"/>
      <c r="AD202" s="10"/>
      <c r="AE202" s="10"/>
      <c r="AF202" s="10"/>
      <c r="AG202" s="10"/>
      <c r="AH202" s="10"/>
      <c r="AI202" s="10"/>
      <c r="AJ202" s="10"/>
      <c r="AK202" s="10"/>
      <c r="AL202" s="10"/>
      <c r="AM202" s="10"/>
      <c r="AN202" s="10"/>
      <c r="AO202" s="10"/>
      <c r="AP202" s="10"/>
      <c r="AQ202" s="10"/>
      <c r="AR202" s="10"/>
      <c r="AS202" s="10"/>
      <c r="AT202" s="10"/>
      <c r="AU202" s="10"/>
      <c r="AV202" s="10"/>
      <c r="AW202" s="10"/>
      <c r="AX202" s="10"/>
    </row>
    <row r="203" spans="1:50" ht="15">
      <c r="A203" s="1108"/>
      <c r="B203" s="961" t="s">
        <v>1395</v>
      </c>
      <c r="C203" s="962"/>
      <c r="D203" s="1059" t="s">
        <v>1396</v>
      </c>
      <c r="E203" s="1060" t="s">
        <v>283</v>
      </c>
      <c r="F203" s="968">
        <v>8</v>
      </c>
      <c r="G203" s="965">
        <v>9</v>
      </c>
      <c r="H203" s="942">
        <v>1.8683035000001227</v>
      </c>
      <c r="I203" s="943">
        <v>0.78287000000000251</v>
      </c>
      <c r="J203" s="943">
        <v>18.943371942492877</v>
      </c>
      <c r="K203" s="943">
        <v>0.22935540000000001</v>
      </c>
      <c r="L203" s="944">
        <v>0</v>
      </c>
      <c r="M203" s="934">
        <v>6.5698271089827323</v>
      </c>
      <c r="N203" s="934">
        <v>7.1721182497201887</v>
      </c>
      <c r="O203" s="934">
        <v>10.257843920540139</v>
      </c>
      <c r="P203" s="934">
        <v>0</v>
      </c>
      <c r="Q203" s="934">
        <v>0.55577705110841291</v>
      </c>
      <c r="R203" s="935">
        <f t="shared" si="117"/>
        <v>2.1300624248105104</v>
      </c>
      <c r="S203" s="898">
        <f t="shared" si="118"/>
        <v>1</v>
      </c>
      <c r="T203" s="898">
        <f t="shared" si="119"/>
        <v>0.74</v>
      </c>
      <c r="U203" s="898">
        <f t="shared" si="120"/>
        <v>0.26</v>
      </c>
      <c r="V203" s="898">
        <f t="shared" si="121"/>
        <v>0</v>
      </c>
      <c r="W203" s="945">
        <f t="shared" si="122"/>
        <v>0</v>
      </c>
      <c r="X203" s="656">
        <f t="shared" si="116"/>
        <v>0</v>
      </c>
      <c r="Y203" s="656">
        <f t="shared" si="116"/>
        <v>0</v>
      </c>
      <c r="Z203" s="656">
        <f t="shared" si="116"/>
        <v>0</v>
      </c>
      <c r="AA203" s="656">
        <f t="shared" si="116"/>
        <v>0</v>
      </c>
      <c r="AB203" s="946">
        <f t="shared" si="116"/>
        <v>0</v>
      </c>
      <c r="AC203" s="1108"/>
      <c r="AD203" s="10"/>
      <c r="AE203" s="10"/>
      <c r="AF203" s="10"/>
      <c r="AG203" s="10"/>
      <c r="AH203" s="10"/>
      <c r="AI203" s="10"/>
      <c r="AJ203" s="10"/>
      <c r="AK203" s="10"/>
      <c r="AL203" s="10"/>
      <c r="AM203" s="10"/>
      <c r="AN203" s="10"/>
      <c r="AO203" s="10"/>
      <c r="AP203" s="10"/>
      <c r="AQ203" s="10"/>
      <c r="AR203" s="10"/>
      <c r="AS203" s="10"/>
      <c r="AT203" s="10"/>
      <c r="AU203" s="10"/>
      <c r="AV203" s="10"/>
      <c r="AW203" s="10"/>
      <c r="AX203" s="10"/>
    </row>
    <row r="204" spans="1:50" ht="15">
      <c r="A204" s="1108"/>
      <c r="B204" s="961">
        <v>104</v>
      </c>
      <c r="C204" s="927"/>
      <c r="D204" s="928" t="s">
        <v>1397</v>
      </c>
      <c r="E204" s="928">
        <v>9</v>
      </c>
      <c r="F204" s="929">
        <v>8</v>
      </c>
      <c r="G204" s="930">
        <v>3.6</v>
      </c>
      <c r="H204" s="942">
        <v>1.409097</v>
      </c>
      <c r="I204" s="943">
        <v>0.35070000000000001</v>
      </c>
      <c r="J204" s="943">
        <v>11.1434</v>
      </c>
      <c r="K204" s="943">
        <v>0.2049378</v>
      </c>
      <c r="L204" s="944">
        <v>0</v>
      </c>
      <c r="M204" s="934">
        <v>6.5698271089827323</v>
      </c>
      <c r="N204" s="934">
        <v>7.1721182497201887</v>
      </c>
      <c r="O204" s="934">
        <v>10.257843920540139</v>
      </c>
      <c r="P204" s="934">
        <v>0</v>
      </c>
      <c r="Q204" s="934">
        <v>0.55577705110841291</v>
      </c>
      <c r="R204" s="935">
        <f t="shared" si="117"/>
        <v>1.6447317686743472</v>
      </c>
      <c r="S204" s="898">
        <f t="shared" si="118"/>
        <v>1</v>
      </c>
      <c r="T204" s="898">
        <f t="shared" si="119"/>
        <v>0.74</v>
      </c>
      <c r="U204" s="898">
        <f t="shared" si="120"/>
        <v>0.26</v>
      </c>
      <c r="V204" s="898">
        <f t="shared" si="121"/>
        <v>0</v>
      </c>
      <c r="W204" s="945">
        <f t="shared" si="122"/>
        <v>0</v>
      </c>
      <c r="X204" s="656">
        <f t="shared" si="116"/>
        <v>0</v>
      </c>
      <c r="Y204" s="656">
        <f t="shared" si="116"/>
        <v>0</v>
      </c>
      <c r="Z204" s="656">
        <f t="shared" si="116"/>
        <v>0</v>
      </c>
      <c r="AA204" s="656">
        <f t="shared" si="116"/>
        <v>0</v>
      </c>
      <c r="AB204" s="946">
        <f t="shared" si="116"/>
        <v>0</v>
      </c>
      <c r="AC204" s="1108"/>
      <c r="AD204" s="10"/>
      <c r="AE204" s="10"/>
      <c r="AF204" s="10"/>
      <c r="AG204" s="10"/>
      <c r="AH204" s="10"/>
      <c r="AI204" s="10"/>
      <c r="AJ204" s="10"/>
      <c r="AK204" s="10"/>
      <c r="AL204" s="10"/>
      <c r="AM204" s="10"/>
      <c r="AN204" s="10"/>
      <c r="AO204" s="10"/>
      <c r="AP204" s="10"/>
      <c r="AQ204" s="10"/>
      <c r="AR204" s="10"/>
      <c r="AS204" s="10"/>
      <c r="AT204" s="10"/>
      <c r="AU204" s="10"/>
      <c r="AV204" s="10"/>
      <c r="AW204" s="10"/>
      <c r="AX204" s="10"/>
    </row>
    <row r="205" spans="1:50" ht="15">
      <c r="A205" s="1108"/>
      <c r="B205" s="961">
        <v>106</v>
      </c>
      <c r="C205" s="927"/>
      <c r="D205" s="928" t="s">
        <v>1397</v>
      </c>
      <c r="E205" s="928">
        <v>9</v>
      </c>
      <c r="F205" s="929">
        <v>8</v>
      </c>
      <c r="G205" s="930">
        <v>3.6</v>
      </c>
      <c r="H205" s="942">
        <v>1.363885</v>
      </c>
      <c r="I205" s="943">
        <v>0.36470000000000002</v>
      </c>
      <c r="J205" s="943">
        <v>11.678380000000001</v>
      </c>
      <c r="K205" s="943">
        <v>0.19338179999999999</v>
      </c>
      <c r="L205" s="944">
        <v>0</v>
      </c>
      <c r="M205" s="934">
        <v>6.5698271089827323</v>
      </c>
      <c r="N205" s="934">
        <v>7.1721182497201887</v>
      </c>
      <c r="O205" s="934">
        <v>10.257843920540139</v>
      </c>
      <c r="P205" s="934">
        <v>0</v>
      </c>
      <c r="Q205" s="934">
        <v>0.55577705110841291</v>
      </c>
      <c r="R205" s="935">
        <f t="shared" si="117"/>
        <v>1.6975884737784808</v>
      </c>
      <c r="S205" s="898">
        <f t="shared" si="118"/>
        <v>1</v>
      </c>
      <c r="T205" s="898">
        <f t="shared" si="119"/>
        <v>0.74</v>
      </c>
      <c r="U205" s="898">
        <f t="shared" si="120"/>
        <v>0.26</v>
      </c>
      <c r="V205" s="898">
        <f t="shared" si="121"/>
        <v>0</v>
      </c>
      <c r="W205" s="945">
        <f t="shared" si="122"/>
        <v>0</v>
      </c>
      <c r="X205" s="656">
        <f t="shared" si="116"/>
        <v>0</v>
      </c>
      <c r="Y205" s="656">
        <f t="shared" si="116"/>
        <v>0</v>
      </c>
      <c r="Z205" s="656">
        <f t="shared" si="116"/>
        <v>0</v>
      </c>
      <c r="AA205" s="656">
        <f t="shared" si="116"/>
        <v>0</v>
      </c>
      <c r="AB205" s="946">
        <f t="shared" si="116"/>
        <v>0</v>
      </c>
      <c r="AC205" s="1108"/>
      <c r="AD205" s="10"/>
      <c r="AE205" s="10"/>
      <c r="AF205" s="10"/>
      <c r="AG205" s="10"/>
      <c r="AH205" s="10"/>
      <c r="AI205" s="10"/>
      <c r="AJ205" s="10"/>
      <c r="AK205" s="10"/>
      <c r="AL205" s="10"/>
      <c r="AM205" s="10"/>
      <c r="AN205" s="10"/>
      <c r="AO205" s="10"/>
      <c r="AP205" s="10"/>
      <c r="AQ205" s="10"/>
      <c r="AR205" s="10"/>
      <c r="AS205" s="10"/>
      <c r="AT205" s="10"/>
      <c r="AU205" s="10"/>
      <c r="AV205" s="10"/>
      <c r="AW205" s="10"/>
      <c r="AX205" s="10"/>
    </row>
    <row r="206" spans="1:50" ht="15">
      <c r="A206" s="1108"/>
      <c r="B206" s="961">
        <v>108</v>
      </c>
      <c r="C206" s="927"/>
      <c r="D206" s="928" t="s">
        <v>1397</v>
      </c>
      <c r="E206" s="928">
        <v>9</v>
      </c>
      <c r="F206" s="929">
        <v>8</v>
      </c>
      <c r="G206" s="930">
        <v>3.6</v>
      </c>
      <c r="H206" s="942">
        <v>2.0110000000000001</v>
      </c>
      <c r="I206" s="943">
        <v>0.26989999999999997</v>
      </c>
      <c r="J206" s="943">
        <v>10.1512581944444</v>
      </c>
      <c r="K206" s="943">
        <v>0.11408519999999998</v>
      </c>
      <c r="L206" s="944">
        <v>0</v>
      </c>
      <c r="M206" s="934">
        <v>6.5698271089827323</v>
      </c>
      <c r="N206" s="934">
        <v>7.1721182497201887</v>
      </c>
      <c r="O206" s="934">
        <v>10.257843920540139</v>
      </c>
      <c r="P206" s="934">
        <v>0</v>
      </c>
      <c r="Q206" s="934">
        <v>0.55577705110841291</v>
      </c>
      <c r="R206" s="935">
        <f t="shared" si="117"/>
        <v>1.2831560947379419</v>
      </c>
      <c r="S206" s="898">
        <f t="shared" si="118"/>
        <v>1</v>
      </c>
      <c r="T206" s="898">
        <f t="shared" si="119"/>
        <v>0.74</v>
      </c>
      <c r="U206" s="898">
        <f t="shared" si="120"/>
        <v>0.26</v>
      </c>
      <c r="V206" s="898">
        <f t="shared" si="121"/>
        <v>0</v>
      </c>
      <c r="W206" s="945">
        <f t="shared" si="122"/>
        <v>0</v>
      </c>
      <c r="X206" s="656">
        <f t="shared" si="116"/>
        <v>0</v>
      </c>
      <c r="Y206" s="656">
        <f t="shared" si="116"/>
        <v>0</v>
      </c>
      <c r="Z206" s="656">
        <f t="shared" si="116"/>
        <v>0</v>
      </c>
      <c r="AA206" s="656">
        <f t="shared" si="116"/>
        <v>0</v>
      </c>
      <c r="AB206" s="946">
        <f t="shared" si="116"/>
        <v>0</v>
      </c>
      <c r="AC206" s="1108"/>
      <c r="AD206" s="10"/>
      <c r="AE206" s="10"/>
      <c r="AF206" s="10"/>
      <c r="AG206" s="10"/>
      <c r="AH206" s="10"/>
      <c r="AI206" s="10"/>
      <c r="AJ206" s="10"/>
      <c r="AK206" s="10"/>
      <c r="AL206" s="10"/>
      <c r="AM206" s="10"/>
      <c r="AN206" s="10"/>
      <c r="AO206" s="10"/>
      <c r="AP206" s="10"/>
      <c r="AQ206" s="10"/>
      <c r="AR206" s="10"/>
      <c r="AS206" s="10"/>
      <c r="AT206" s="10"/>
      <c r="AU206" s="10"/>
      <c r="AV206" s="10"/>
      <c r="AW206" s="10"/>
      <c r="AX206" s="10"/>
    </row>
    <row r="207" spans="1:50" ht="15">
      <c r="A207" s="1108"/>
      <c r="B207" s="961">
        <v>1007</v>
      </c>
      <c r="C207" s="962"/>
      <c r="D207" s="928" t="s">
        <v>1398</v>
      </c>
      <c r="E207" s="928">
        <v>9</v>
      </c>
      <c r="F207" s="968">
        <v>8</v>
      </c>
      <c r="G207" s="965">
        <v>3.7</v>
      </c>
      <c r="H207" s="942">
        <v>2.1464540752766021</v>
      </c>
      <c r="I207" s="943">
        <v>0.23850000000000016</v>
      </c>
      <c r="J207" s="943">
        <v>8.4380000000000006</v>
      </c>
      <c r="K207" s="943">
        <v>0</v>
      </c>
      <c r="L207" s="944">
        <v>0</v>
      </c>
      <c r="M207" s="934">
        <v>6.5698271089827323</v>
      </c>
      <c r="N207" s="934">
        <v>7.1721182497201887</v>
      </c>
      <c r="O207" s="934">
        <v>10.257843920540139</v>
      </c>
      <c r="P207" s="934">
        <v>0</v>
      </c>
      <c r="Q207" s="934">
        <v>0.55577705110841291</v>
      </c>
      <c r="R207" s="935">
        <f t="shared" si="117"/>
        <v>0.68705145955486824</v>
      </c>
      <c r="S207" s="898">
        <f t="shared" si="118"/>
        <v>1</v>
      </c>
      <c r="T207" s="898">
        <f t="shared" si="119"/>
        <v>0.74</v>
      </c>
      <c r="U207" s="898">
        <f t="shared" si="120"/>
        <v>0.26</v>
      </c>
      <c r="V207" s="898">
        <f t="shared" si="121"/>
        <v>0</v>
      </c>
      <c r="W207" s="945">
        <f t="shared" si="122"/>
        <v>0</v>
      </c>
      <c r="X207" s="656">
        <f t="shared" si="116"/>
        <v>1</v>
      </c>
      <c r="Y207" s="656">
        <f t="shared" si="116"/>
        <v>1</v>
      </c>
      <c r="Z207" s="656">
        <f t="shared" si="116"/>
        <v>0</v>
      </c>
      <c r="AA207" s="656">
        <f t="shared" si="116"/>
        <v>0</v>
      </c>
      <c r="AB207" s="946">
        <f t="shared" si="116"/>
        <v>0</v>
      </c>
      <c r="AC207" s="1108"/>
      <c r="AD207" s="10"/>
      <c r="AE207" s="10"/>
      <c r="AF207" s="10"/>
      <c r="AG207" s="10"/>
      <c r="AH207" s="10"/>
      <c r="AI207" s="10"/>
      <c r="AJ207" s="10"/>
      <c r="AK207" s="10"/>
      <c r="AL207" s="10"/>
      <c r="AM207" s="10"/>
      <c r="AN207" s="10"/>
      <c r="AO207" s="10"/>
      <c r="AP207" s="10"/>
      <c r="AQ207" s="10"/>
      <c r="AR207" s="10"/>
      <c r="AS207" s="10"/>
      <c r="AT207" s="10"/>
      <c r="AU207" s="10"/>
      <c r="AV207" s="10"/>
      <c r="AW207" s="10"/>
      <c r="AX207" s="10"/>
    </row>
    <row r="208" spans="1:50" ht="15">
      <c r="A208" s="1108"/>
      <c r="B208" s="961">
        <v>1047</v>
      </c>
      <c r="C208" s="962"/>
      <c r="D208" s="928" t="s">
        <v>1398</v>
      </c>
      <c r="E208" s="928">
        <v>9</v>
      </c>
      <c r="F208" s="968">
        <v>8</v>
      </c>
      <c r="G208" s="965">
        <v>3.6</v>
      </c>
      <c r="H208" s="942">
        <v>1.6198107844683427</v>
      </c>
      <c r="I208" s="943">
        <v>7.0208333333329348E-2</v>
      </c>
      <c r="J208" s="943">
        <v>3.6970000000000001</v>
      </c>
      <c r="K208" s="943">
        <v>0</v>
      </c>
      <c r="L208" s="944">
        <v>0</v>
      </c>
      <c r="M208" s="934">
        <v>6.5698271089827323</v>
      </c>
      <c r="N208" s="934">
        <v>7.1721182497201887</v>
      </c>
      <c r="O208" s="934">
        <v>10.257843920540139</v>
      </c>
      <c r="P208" s="934">
        <v>0</v>
      </c>
      <c r="Q208" s="934">
        <v>0.55577705110841291</v>
      </c>
      <c r="R208" s="935">
        <f t="shared" si="117"/>
        <v>0.24791762771251533</v>
      </c>
      <c r="S208" s="898">
        <f t="shared" si="118"/>
        <v>1</v>
      </c>
      <c r="T208" s="898">
        <f t="shared" si="119"/>
        <v>0.74</v>
      </c>
      <c r="U208" s="898">
        <f t="shared" si="120"/>
        <v>0.26</v>
      </c>
      <c r="V208" s="898">
        <f t="shared" si="121"/>
        <v>0</v>
      </c>
      <c r="W208" s="945">
        <f t="shared" si="122"/>
        <v>0</v>
      </c>
      <c r="X208" s="656">
        <f t="shared" si="116"/>
        <v>1</v>
      </c>
      <c r="Y208" s="656">
        <f t="shared" si="116"/>
        <v>1</v>
      </c>
      <c r="Z208" s="656">
        <f t="shared" si="116"/>
        <v>1</v>
      </c>
      <c r="AA208" s="656">
        <f t="shared" si="116"/>
        <v>0</v>
      </c>
      <c r="AB208" s="946">
        <f t="shared" si="116"/>
        <v>0</v>
      </c>
      <c r="AC208" s="1108"/>
      <c r="AD208" s="10"/>
      <c r="AE208" s="10"/>
      <c r="AF208" s="10"/>
      <c r="AG208" s="10"/>
      <c r="AH208" s="10"/>
      <c r="AI208" s="10"/>
      <c r="AJ208" s="10"/>
      <c r="AK208" s="10"/>
      <c r="AL208" s="10"/>
      <c r="AM208" s="10"/>
      <c r="AN208" s="10"/>
      <c r="AO208" s="10"/>
      <c r="AP208" s="10"/>
      <c r="AQ208" s="10"/>
      <c r="AR208" s="10"/>
      <c r="AS208" s="10"/>
      <c r="AT208" s="10"/>
      <c r="AU208" s="10"/>
      <c r="AV208" s="10"/>
      <c r="AW208" s="10"/>
      <c r="AX208" s="10"/>
    </row>
    <row r="209" spans="1:50" ht="15">
      <c r="A209" s="1108"/>
      <c r="B209" s="961">
        <v>1009</v>
      </c>
      <c r="C209" s="962"/>
      <c r="D209" s="928" t="s">
        <v>1398</v>
      </c>
      <c r="E209" s="928">
        <v>9</v>
      </c>
      <c r="F209" s="968">
        <v>8</v>
      </c>
      <c r="G209" s="965">
        <v>3.6</v>
      </c>
      <c r="H209" s="942">
        <v>0.13170666605426379</v>
      </c>
      <c r="I209" s="943">
        <v>4.000000000000159E-2</v>
      </c>
      <c r="J209" s="943">
        <v>2.5139999999999998</v>
      </c>
      <c r="K209" s="943">
        <v>0</v>
      </c>
      <c r="L209" s="944">
        <v>0</v>
      </c>
      <c r="M209" s="934">
        <v>6.5698271089827323</v>
      </c>
      <c r="N209" s="934">
        <v>7.1721182497201887</v>
      </c>
      <c r="O209" s="934">
        <v>10.257843920540139</v>
      </c>
      <c r="P209" s="934">
        <v>0</v>
      </c>
      <c r="Q209" s="934">
        <v>0.55577705110841291</v>
      </c>
      <c r="R209" s="935">
        <f t="shared" si="117"/>
        <v>0.38444394394844678</v>
      </c>
      <c r="S209" s="898">
        <f t="shared" si="118"/>
        <v>1</v>
      </c>
      <c r="T209" s="898">
        <f t="shared" si="119"/>
        <v>0.74</v>
      </c>
      <c r="U209" s="898">
        <f t="shared" si="120"/>
        <v>0.26</v>
      </c>
      <c r="V209" s="898">
        <f t="shared" si="121"/>
        <v>0</v>
      </c>
      <c r="W209" s="945">
        <f t="shared" si="122"/>
        <v>0</v>
      </c>
      <c r="X209" s="656">
        <f t="shared" si="116"/>
        <v>1</v>
      </c>
      <c r="Y209" s="656">
        <f t="shared" si="116"/>
        <v>1</v>
      </c>
      <c r="Z209" s="656">
        <f t="shared" si="116"/>
        <v>0</v>
      </c>
      <c r="AA209" s="656">
        <f t="shared" si="116"/>
        <v>0</v>
      </c>
      <c r="AB209" s="946">
        <f t="shared" si="116"/>
        <v>0</v>
      </c>
      <c r="AC209" s="1108"/>
      <c r="AD209" s="10"/>
      <c r="AE209" s="10"/>
      <c r="AF209" s="10"/>
      <c r="AG209" s="10"/>
      <c r="AH209" s="10"/>
      <c r="AI209" s="10"/>
      <c r="AJ209" s="10"/>
      <c r="AK209" s="10"/>
      <c r="AL209" s="10"/>
      <c r="AM209" s="10"/>
      <c r="AN209" s="10"/>
      <c r="AO209" s="10"/>
      <c r="AP209" s="10"/>
      <c r="AQ209" s="10"/>
      <c r="AR209" s="10"/>
      <c r="AS209" s="10"/>
      <c r="AT209" s="10"/>
      <c r="AU209" s="10"/>
      <c r="AV209" s="10"/>
      <c r="AW209" s="10"/>
      <c r="AX209" s="10"/>
    </row>
    <row r="210" spans="1:50" ht="15">
      <c r="A210" s="1108"/>
      <c r="B210" s="961" t="s">
        <v>1399</v>
      </c>
      <c r="C210" s="962"/>
      <c r="D210" s="928" t="s">
        <v>1398</v>
      </c>
      <c r="E210" s="928">
        <v>9</v>
      </c>
      <c r="F210" s="968">
        <v>8</v>
      </c>
      <c r="G210" s="965">
        <v>5</v>
      </c>
      <c r="H210" s="942">
        <v>0.31253582500000598</v>
      </c>
      <c r="I210" s="943">
        <v>0.26384995138888706</v>
      </c>
      <c r="J210" s="943">
        <v>8.2349560972224776</v>
      </c>
      <c r="K210" s="943">
        <v>0.21911100000000003</v>
      </c>
      <c r="L210" s="944">
        <v>0</v>
      </c>
      <c r="M210" s="934">
        <v>6.5698271089827323</v>
      </c>
      <c r="N210" s="934">
        <v>7.1721182497201887</v>
      </c>
      <c r="O210" s="934">
        <v>10.257843920540139</v>
      </c>
      <c r="P210" s="934">
        <v>0</v>
      </c>
      <c r="Q210" s="934">
        <v>0.55577705110841291</v>
      </c>
      <c r="R210" s="935">
        <f t="shared" si="117"/>
        <v>1.5288521369551382</v>
      </c>
      <c r="S210" s="898">
        <f t="shared" si="118"/>
        <v>1</v>
      </c>
      <c r="T210" s="898">
        <f t="shared" si="119"/>
        <v>0.74</v>
      </c>
      <c r="U210" s="898">
        <f t="shared" si="120"/>
        <v>0.26</v>
      </c>
      <c r="V210" s="898">
        <f t="shared" si="121"/>
        <v>0</v>
      </c>
      <c r="W210" s="945">
        <f t="shared" si="122"/>
        <v>0</v>
      </c>
      <c r="X210" s="656">
        <f t="shared" ref="X210:AB229" si="123">IF($R210&lt;=S210,1,0)</f>
        <v>0</v>
      </c>
      <c r="Y210" s="656">
        <f t="shared" si="123"/>
        <v>0</v>
      </c>
      <c r="Z210" s="656">
        <f t="shared" si="123"/>
        <v>0</v>
      </c>
      <c r="AA210" s="656">
        <f t="shared" si="123"/>
        <v>0</v>
      </c>
      <c r="AB210" s="946">
        <f t="shared" si="123"/>
        <v>0</v>
      </c>
      <c r="AC210" s="1108"/>
      <c r="AD210" s="10"/>
      <c r="AE210" s="10"/>
      <c r="AF210" s="10"/>
      <c r="AG210" s="10"/>
      <c r="AH210" s="10"/>
      <c r="AI210" s="10"/>
      <c r="AJ210" s="10"/>
      <c r="AK210" s="10"/>
      <c r="AL210" s="10"/>
      <c r="AM210" s="10"/>
      <c r="AN210" s="10"/>
      <c r="AO210" s="10"/>
      <c r="AP210" s="10"/>
      <c r="AQ210" s="10"/>
      <c r="AR210" s="10"/>
      <c r="AS210" s="10"/>
      <c r="AT210" s="10"/>
      <c r="AU210" s="10"/>
      <c r="AV210" s="10"/>
      <c r="AW210" s="10"/>
      <c r="AX210" s="10"/>
    </row>
    <row r="211" spans="1:50" ht="15">
      <c r="A211" s="1108"/>
      <c r="B211" s="957" t="s">
        <v>1400</v>
      </c>
      <c r="C211" s="927"/>
      <c r="D211" s="928" t="s">
        <v>1398</v>
      </c>
      <c r="E211" s="928">
        <v>9</v>
      </c>
      <c r="F211" s="929">
        <v>8</v>
      </c>
      <c r="G211" s="930">
        <v>3.7</v>
      </c>
      <c r="H211" s="958">
        <v>1.1689499500000009</v>
      </c>
      <c r="I211" s="959">
        <v>0.22349999999999959</v>
      </c>
      <c r="J211" s="959">
        <v>6.6564120833333247</v>
      </c>
      <c r="K211" s="959">
        <v>0</v>
      </c>
      <c r="L211" s="944">
        <v>0</v>
      </c>
      <c r="M211" s="934">
        <v>6.5698271089827323</v>
      </c>
      <c r="N211" s="934">
        <v>7.1721182497201887</v>
      </c>
      <c r="O211" s="934">
        <v>10.257843920540139</v>
      </c>
      <c r="P211" s="934">
        <v>0</v>
      </c>
      <c r="Q211" s="934">
        <v>0.55577705110841291</v>
      </c>
      <c r="R211" s="935">
        <f t="shared" si="117"/>
        <v>0.56099542942449498</v>
      </c>
      <c r="S211" s="898">
        <f t="shared" si="118"/>
        <v>1</v>
      </c>
      <c r="T211" s="898">
        <f t="shared" si="119"/>
        <v>0.74</v>
      </c>
      <c r="U211" s="898">
        <f t="shared" si="120"/>
        <v>0.26</v>
      </c>
      <c r="V211" s="898">
        <f t="shared" si="121"/>
        <v>0</v>
      </c>
      <c r="W211" s="945">
        <f t="shared" si="122"/>
        <v>0</v>
      </c>
      <c r="X211" s="656">
        <f t="shared" si="123"/>
        <v>1</v>
      </c>
      <c r="Y211" s="656">
        <f t="shared" si="123"/>
        <v>1</v>
      </c>
      <c r="Z211" s="656">
        <f t="shared" si="123"/>
        <v>0</v>
      </c>
      <c r="AA211" s="656">
        <f t="shared" si="123"/>
        <v>0</v>
      </c>
      <c r="AB211" s="946">
        <f t="shared" si="123"/>
        <v>0</v>
      </c>
      <c r="AC211" s="1108"/>
      <c r="AD211" s="10"/>
      <c r="AE211" s="10"/>
      <c r="AF211" s="10"/>
      <c r="AG211" s="10"/>
      <c r="AH211" s="10"/>
      <c r="AI211" s="10"/>
      <c r="AJ211" s="10"/>
      <c r="AK211" s="10"/>
      <c r="AL211" s="10"/>
      <c r="AM211" s="10"/>
      <c r="AN211" s="10"/>
      <c r="AO211" s="10"/>
      <c r="AP211" s="10"/>
      <c r="AQ211" s="10"/>
      <c r="AR211" s="10"/>
      <c r="AS211" s="10"/>
      <c r="AT211" s="10"/>
      <c r="AU211" s="10"/>
      <c r="AV211" s="10"/>
      <c r="AW211" s="10"/>
      <c r="AX211" s="10"/>
    </row>
    <row r="212" spans="1:50" ht="15">
      <c r="A212" s="1108"/>
      <c r="B212" s="957" t="s">
        <v>1401</v>
      </c>
      <c r="C212" s="927"/>
      <c r="D212" s="928" t="s">
        <v>1398</v>
      </c>
      <c r="E212" s="928">
        <v>9</v>
      </c>
      <c r="F212" s="929">
        <v>8</v>
      </c>
      <c r="G212" s="930">
        <v>3.7</v>
      </c>
      <c r="H212" s="958">
        <v>0.50752832499999723</v>
      </c>
      <c r="I212" s="959">
        <v>0.26400000000000023</v>
      </c>
      <c r="J212" s="959">
        <v>7.016500000000006</v>
      </c>
      <c r="K212" s="959">
        <v>0</v>
      </c>
      <c r="L212" s="944">
        <v>0</v>
      </c>
      <c r="M212" s="934">
        <v>6.5698271089827323</v>
      </c>
      <c r="N212" s="934">
        <v>7.1721182497201887</v>
      </c>
      <c r="O212" s="934">
        <v>10.257843920540139</v>
      </c>
      <c r="P212" s="934">
        <v>0</v>
      </c>
      <c r="Q212" s="934">
        <v>0.55577705110841291</v>
      </c>
      <c r="R212" s="935">
        <f t="shared" si="117"/>
        <v>0.66815733614330297</v>
      </c>
      <c r="S212" s="898">
        <f t="shared" si="118"/>
        <v>1</v>
      </c>
      <c r="T212" s="898">
        <f t="shared" si="119"/>
        <v>0.74</v>
      </c>
      <c r="U212" s="898">
        <f t="shared" si="120"/>
        <v>0.26</v>
      </c>
      <c r="V212" s="898">
        <f t="shared" si="121"/>
        <v>0</v>
      </c>
      <c r="W212" s="945">
        <f t="shared" si="122"/>
        <v>0</v>
      </c>
      <c r="X212" s="656">
        <f t="shared" si="123"/>
        <v>1</v>
      </c>
      <c r="Y212" s="656">
        <f t="shared" si="123"/>
        <v>1</v>
      </c>
      <c r="Z212" s="656">
        <f t="shared" si="123"/>
        <v>0</v>
      </c>
      <c r="AA212" s="656">
        <f t="shared" si="123"/>
        <v>0</v>
      </c>
      <c r="AB212" s="946">
        <f t="shared" si="123"/>
        <v>0</v>
      </c>
      <c r="AC212" s="1108"/>
      <c r="AD212" s="10"/>
      <c r="AE212" s="10"/>
      <c r="AF212" s="10"/>
      <c r="AG212" s="10"/>
      <c r="AH212" s="10"/>
      <c r="AI212" s="10"/>
      <c r="AJ212" s="10"/>
      <c r="AK212" s="10"/>
      <c r="AL212" s="10"/>
      <c r="AM212" s="10"/>
      <c r="AN212" s="10"/>
      <c r="AO212" s="10"/>
      <c r="AP212" s="10"/>
      <c r="AQ212" s="10"/>
      <c r="AR212" s="10"/>
      <c r="AS212" s="10"/>
      <c r="AT212" s="10"/>
      <c r="AU212" s="10"/>
      <c r="AV212" s="10"/>
      <c r="AW212" s="10"/>
      <c r="AX212" s="10"/>
    </row>
    <row r="213" spans="1:50" ht="15">
      <c r="A213" s="1108"/>
      <c r="B213" s="957" t="s">
        <v>1402</v>
      </c>
      <c r="C213" s="927"/>
      <c r="D213" s="928" t="s">
        <v>1398</v>
      </c>
      <c r="E213" s="928">
        <v>9</v>
      </c>
      <c r="F213" s="929">
        <v>8</v>
      </c>
      <c r="G213" s="930">
        <v>3.7</v>
      </c>
      <c r="H213" s="958">
        <v>1.8984600333333157</v>
      </c>
      <c r="I213" s="959">
        <v>0.32000000000000028</v>
      </c>
      <c r="J213" s="959">
        <v>10.388400000000008</v>
      </c>
      <c r="K213" s="959">
        <v>0</v>
      </c>
      <c r="L213" s="944">
        <v>0</v>
      </c>
      <c r="M213" s="934">
        <v>6.5698271089827323</v>
      </c>
      <c r="N213" s="934">
        <v>7.1721182497201887</v>
      </c>
      <c r="O213" s="934">
        <v>10.257843920540139</v>
      </c>
      <c r="P213" s="934">
        <v>0</v>
      </c>
      <c r="Q213" s="934">
        <v>0.55577705110841291</v>
      </c>
      <c r="R213" s="935">
        <f t="shared" si="117"/>
        <v>0.9316591132100166</v>
      </c>
      <c r="S213" s="898">
        <f t="shared" si="118"/>
        <v>1</v>
      </c>
      <c r="T213" s="898">
        <f t="shared" si="119"/>
        <v>0.74</v>
      </c>
      <c r="U213" s="898">
        <f t="shared" si="120"/>
        <v>0.26</v>
      </c>
      <c r="V213" s="898">
        <f t="shared" si="121"/>
        <v>0</v>
      </c>
      <c r="W213" s="945">
        <f t="shared" si="122"/>
        <v>0</v>
      </c>
      <c r="X213" s="656">
        <f t="shared" si="123"/>
        <v>1</v>
      </c>
      <c r="Y213" s="656">
        <f t="shared" si="123"/>
        <v>0</v>
      </c>
      <c r="Z213" s="656">
        <f t="shared" si="123"/>
        <v>0</v>
      </c>
      <c r="AA213" s="656">
        <f t="shared" si="123"/>
        <v>0</v>
      </c>
      <c r="AB213" s="946">
        <f t="shared" si="123"/>
        <v>0</v>
      </c>
      <c r="AC213" s="1108"/>
      <c r="AD213" s="10"/>
      <c r="AE213" s="10"/>
      <c r="AF213" s="10"/>
      <c r="AG213" s="10"/>
      <c r="AH213" s="10"/>
      <c r="AI213" s="10"/>
      <c r="AJ213" s="10"/>
      <c r="AK213" s="10"/>
      <c r="AL213" s="10"/>
      <c r="AM213" s="10"/>
      <c r="AN213" s="10"/>
      <c r="AO213" s="10"/>
      <c r="AP213" s="10"/>
      <c r="AQ213" s="10"/>
      <c r="AR213" s="10"/>
      <c r="AS213" s="10"/>
      <c r="AT213" s="10"/>
      <c r="AU213" s="10"/>
      <c r="AV213" s="10"/>
      <c r="AW213" s="10"/>
      <c r="AX213" s="10"/>
    </row>
    <row r="214" spans="1:50" ht="15">
      <c r="A214" s="1108"/>
      <c r="B214" s="965" t="s">
        <v>1403</v>
      </c>
      <c r="C214" s="966"/>
      <c r="D214" s="928" t="s">
        <v>1404</v>
      </c>
      <c r="E214" s="928">
        <v>22</v>
      </c>
      <c r="F214" s="968">
        <v>9</v>
      </c>
      <c r="G214" s="965">
        <v>4.9000000000000004</v>
      </c>
      <c r="H214" s="958">
        <v>5.7050834583331751</v>
      </c>
      <c r="I214" s="959">
        <v>0.64762725000000065</v>
      </c>
      <c r="J214" s="959">
        <v>25.638538652777747</v>
      </c>
      <c r="K214" s="959">
        <v>0.22716900000000001</v>
      </c>
      <c r="L214" s="944">
        <v>0</v>
      </c>
      <c r="M214" s="934">
        <v>1.0586700748083202</v>
      </c>
      <c r="N214" s="934">
        <v>2.6087183107301131E-5</v>
      </c>
      <c r="O214" s="934">
        <v>22.941303838008572</v>
      </c>
      <c r="P214" s="934">
        <v>0</v>
      </c>
      <c r="Q214" s="934">
        <v>0.14221614350079198</v>
      </c>
      <c r="R214" s="935">
        <f t="shared" si="117"/>
        <v>0.47815563622045698</v>
      </c>
      <c r="S214" s="898">
        <f t="shared" si="118"/>
        <v>0.79</v>
      </c>
      <c r="T214" s="898">
        <f t="shared" si="119"/>
        <v>0.26</v>
      </c>
      <c r="U214" s="898">
        <f t="shared" si="120"/>
        <v>0.13</v>
      </c>
      <c r="V214" s="898">
        <f t="shared" si="121"/>
        <v>0</v>
      </c>
      <c r="W214" s="945">
        <f t="shared" si="122"/>
        <v>0</v>
      </c>
      <c r="X214" s="656">
        <f t="shared" si="123"/>
        <v>1</v>
      </c>
      <c r="Y214" s="656">
        <f t="shared" si="123"/>
        <v>0</v>
      </c>
      <c r="Z214" s="656">
        <f t="shared" si="123"/>
        <v>0</v>
      </c>
      <c r="AA214" s="656">
        <f t="shared" si="123"/>
        <v>0</v>
      </c>
      <c r="AB214" s="946">
        <f t="shared" si="123"/>
        <v>0</v>
      </c>
      <c r="AC214" s="1108"/>
      <c r="AD214" s="10"/>
      <c r="AE214" s="10"/>
      <c r="AF214" s="10"/>
      <c r="AG214" s="10"/>
      <c r="AH214" s="10"/>
      <c r="AI214" s="10"/>
      <c r="AJ214" s="10"/>
      <c r="AK214" s="10"/>
      <c r="AL214" s="10"/>
      <c r="AM214" s="10"/>
      <c r="AN214" s="10"/>
      <c r="AO214" s="10"/>
      <c r="AP214" s="10"/>
      <c r="AQ214" s="10"/>
      <c r="AR214" s="10"/>
      <c r="AS214" s="10"/>
      <c r="AT214" s="10"/>
      <c r="AU214" s="10"/>
      <c r="AV214" s="10"/>
      <c r="AW214" s="10"/>
      <c r="AX214" s="10"/>
    </row>
    <row r="215" spans="1:50" ht="15">
      <c r="A215" s="1108"/>
      <c r="B215" s="961" t="s">
        <v>1405</v>
      </c>
      <c r="C215" s="962"/>
      <c r="D215" s="928" t="s">
        <v>1406</v>
      </c>
      <c r="E215" s="928">
        <v>25</v>
      </c>
      <c r="F215" s="968">
        <v>9</v>
      </c>
      <c r="G215" s="965">
        <v>3.7</v>
      </c>
      <c r="H215" s="942">
        <v>3.013447352558245</v>
      </c>
      <c r="I215" s="943">
        <v>0.17000000000000098</v>
      </c>
      <c r="J215" s="943">
        <v>8.2352000000000007</v>
      </c>
      <c r="K215" s="943">
        <v>0.11000000000000001</v>
      </c>
      <c r="L215" s="944">
        <v>0</v>
      </c>
      <c r="M215" s="934">
        <v>1.0586700748083202</v>
      </c>
      <c r="N215" s="934">
        <v>2.6087183107301131E-5</v>
      </c>
      <c r="O215" s="934">
        <v>22.941303838008572</v>
      </c>
      <c r="P215" s="934">
        <v>0</v>
      </c>
      <c r="Q215" s="934">
        <v>0.14221614350079198</v>
      </c>
      <c r="R215" s="935">
        <f t="shared" si="117"/>
        <v>0.12495864084036704</v>
      </c>
      <c r="S215" s="898">
        <f t="shared" si="118"/>
        <v>0.79</v>
      </c>
      <c r="T215" s="898">
        <f t="shared" si="119"/>
        <v>0.26</v>
      </c>
      <c r="U215" s="898">
        <f t="shared" si="120"/>
        <v>0.13</v>
      </c>
      <c r="V215" s="898">
        <f t="shared" si="121"/>
        <v>0</v>
      </c>
      <c r="W215" s="945">
        <f t="shared" si="122"/>
        <v>0</v>
      </c>
      <c r="X215" s="656">
        <f t="shared" si="123"/>
        <v>1</v>
      </c>
      <c r="Y215" s="656">
        <f t="shared" si="123"/>
        <v>1</v>
      </c>
      <c r="Z215" s="656">
        <f t="shared" si="123"/>
        <v>1</v>
      </c>
      <c r="AA215" s="656">
        <f t="shared" si="123"/>
        <v>0</v>
      </c>
      <c r="AB215" s="946">
        <f t="shared" si="123"/>
        <v>0</v>
      </c>
      <c r="AC215" s="1108"/>
      <c r="AD215" s="10"/>
      <c r="AE215" s="10"/>
      <c r="AF215" s="10"/>
      <c r="AG215" s="10"/>
      <c r="AH215" s="10"/>
      <c r="AI215" s="10"/>
      <c r="AJ215" s="10"/>
      <c r="AK215" s="10"/>
      <c r="AL215" s="10"/>
      <c r="AM215" s="10"/>
      <c r="AN215" s="10"/>
      <c r="AO215" s="10"/>
      <c r="AP215" s="10"/>
      <c r="AQ215" s="10"/>
      <c r="AR215" s="10"/>
      <c r="AS215" s="10"/>
      <c r="AT215" s="10"/>
      <c r="AU215" s="10"/>
      <c r="AV215" s="10"/>
      <c r="AW215" s="10"/>
      <c r="AX215" s="10"/>
    </row>
    <row r="216" spans="1:50" ht="15">
      <c r="A216" s="1108"/>
      <c r="B216" s="961">
        <v>1017</v>
      </c>
      <c r="C216" s="962"/>
      <c r="D216" s="928" t="s">
        <v>1406</v>
      </c>
      <c r="E216" s="928">
        <v>25</v>
      </c>
      <c r="F216" s="968">
        <v>9</v>
      </c>
      <c r="G216" s="965">
        <v>3.7</v>
      </c>
      <c r="H216" s="942">
        <v>2.8678409233333326</v>
      </c>
      <c r="I216" s="943">
        <v>0.13438874999999517</v>
      </c>
      <c r="J216" s="943">
        <v>7.867</v>
      </c>
      <c r="K216" s="943">
        <v>0</v>
      </c>
      <c r="L216" s="944">
        <v>0</v>
      </c>
      <c r="M216" s="934">
        <v>1.0586700748083202</v>
      </c>
      <c r="N216" s="934">
        <v>2.6087183107301131E-5</v>
      </c>
      <c r="O216" s="934">
        <v>22.941303838008572</v>
      </c>
      <c r="P216" s="934">
        <v>0</v>
      </c>
      <c r="Q216" s="934">
        <v>0.14221614350079198</v>
      </c>
      <c r="R216" s="935">
        <f t="shared" si="117"/>
        <v>0.14400727466308944</v>
      </c>
      <c r="S216" s="898">
        <f t="shared" si="118"/>
        <v>0.79</v>
      </c>
      <c r="T216" s="898">
        <f t="shared" si="119"/>
        <v>0.26</v>
      </c>
      <c r="U216" s="898">
        <f t="shared" si="120"/>
        <v>0.13</v>
      </c>
      <c r="V216" s="898">
        <f t="shared" si="121"/>
        <v>0</v>
      </c>
      <c r="W216" s="945">
        <f t="shared" si="122"/>
        <v>0</v>
      </c>
      <c r="X216" s="656">
        <f t="shared" si="123"/>
        <v>1</v>
      </c>
      <c r="Y216" s="656">
        <f t="shared" si="123"/>
        <v>1</v>
      </c>
      <c r="Z216" s="656">
        <f t="shared" si="123"/>
        <v>0</v>
      </c>
      <c r="AA216" s="656">
        <f t="shared" si="123"/>
        <v>0</v>
      </c>
      <c r="AB216" s="946">
        <f t="shared" si="123"/>
        <v>0</v>
      </c>
      <c r="AC216" s="1108"/>
      <c r="AD216" s="10"/>
      <c r="AE216" s="10"/>
      <c r="AF216" s="10"/>
      <c r="AG216" s="10"/>
      <c r="AH216" s="10"/>
      <c r="AI216" s="10"/>
      <c r="AJ216" s="10"/>
      <c r="AK216" s="10"/>
      <c r="AL216" s="10"/>
      <c r="AM216" s="10"/>
      <c r="AN216" s="10"/>
      <c r="AO216" s="10"/>
      <c r="AP216" s="10"/>
      <c r="AQ216" s="10"/>
      <c r="AR216" s="10"/>
      <c r="AS216" s="10"/>
      <c r="AT216" s="10"/>
      <c r="AU216" s="10"/>
      <c r="AV216" s="10"/>
      <c r="AW216" s="10"/>
      <c r="AX216" s="10"/>
    </row>
    <row r="217" spans="1:50" ht="15">
      <c r="A217" s="1108"/>
      <c r="B217" s="961">
        <v>1021</v>
      </c>
      <c r="C217" s="962"/>
      <c r="D217" s="928" t="s">
        <v>1406</v>
      </c>
      <c r="E217" s="928">
        <v>25</v>
      </c>
      <c r="F217" s="968">
        <v>9</v>
      </c>
      <c r="G217" s="965">
        <v>3.7</v>
      </c>
      <c r="H217" s="942">
        <v>3.7172821294174079</v>
      </c>
      <c r="I217" s="943">
        <v>1.7588504166666681</v>
      </c>
      <c r="J217" s="943">
        <v>48.07</v>
      </c>
      <c r="K217" s="943">
        <v>0</v>
      </c>
      <c r="L217" s="944">
        <v>0</v>
      </c>
      <c r="M217" s="934">
        <v>1.0586700748083202</v>
      </c>
      <c r="N217" s="934">
        <v>2.6087183107301131E-5</v>
      </c>
      <c r="O217" s="934">
        <v>22.941303838008572</v>
      </c>
      <c r="P217" s="934">
        <v>0</v>
      </c>
      <c r="Q217" s="934">
        <v>0.14221614350079198</v>
      </c>
      <c r="R217" s="935">
        <f t="shared" si="117"/>
        <v>0.79074645120844334</v>
      </c>
      <c r="S217" s="898">
        <f t="shared" si="118"/>
        <v>0.79</v>
      </c>
      <c r="T217" s="898">
        <f t="shared" si="119"/>
        <v>0.26</v>
      </c>
      <c r="U217" s="898">
        <f t="shared" si="120"/>
        <v>0.13</v>
      </c>
      <c r="V217" s="898">
        <f t="shared" si="121"/>
        <v>0</v>
      </c>
      <c r="W217" s="945">
        <f t="shared" si="122"/>
        <v>0</v>
      </c>
      <c r="X217" s="656">
        <f t="shared" si="123"/>
        <v>0</v>
      </c>
      <c r="Y217" s="656">
        <f t="shared" si="123"/>
        <v>0</v>
      </c>
      <c r="Z217" s="656">
        <f t="shared" si="123"/>
        <v>0</v>
      </c>
      <c r="AA217" s="656">
        <f t="shared" si="123"/>
        <v>0</v>
      </c>
      <c r="AB217" s="946">
        <f t="shared" si="123"/>
        <v>0</v>
      </c>
      <c r="AC217" s="1108"/>
      <c r="AD217" s="10"/>
      <c r="AE217" s="10"/>
      <c r="AF217" s="10"/>
      <c r="AG217" s="10"/>
      <c r="AH217" s="10"/>
      <c r="AI217" s="10"/>
      <c r="AJ217" s="10"/>
      <c r="AK217" s="10"/>
      <c r="AL217" s="10"/>
      <c r="AM217" s="10"/>
      <c r="AN217" s="10"/>
      <c r="AO217" s="10"/>
      <c r="AP217" s="10"/>
      <c r="AQ217" s="10"/>
      <c r="AR217" s="10"/>
      <c r="AS217" s="10"/>
      <c r="AT217" s="10"/>
      <c r="AU217" s="10"/>
      <c r="AV217" s="10"/>
      <c r="AW217" s="10"/>
      <c r="AX217" s="10"/>
    </row>
    <row r="218" spans="1:50" ht="15">
      <c r="A218" s="1108"/>
      <c r="B218" s="961" t="s">
        <v>1407</v>
      </c>
      <c r="C218" s="962"/>
      <c r="D218" s="928" t="s">
        <v>1406</v>
      </c>
      <c r="E218" s="928">
        <v>25</v>
      </c>
      <c r="F218" s="968">
        <v>9</v>
      </c>
      <c r="G218" s="965">
        <v>3.6</v>
      </c>
      <c r="H218" s="942">
        <v>4.7273698682005643</v>
      </c>
      <c r="I218" s="943">
        <v>0.22898916666666541</v>
      </c>
      <c r="J218" s="943">
        <v>13.518000000000001</v>
      </c>
      <c r="K218" s="943">
        <v>7.0000000000000007E-2</v>
      </c>
      <c r="L218" s="944">
        <v>0</v>
      </c>
      <c r="M218" s="934">
        <v>1.0586700748083202</v>
      </c>
      <c r="N218" s="934">
        <v>2.6087183107301131E-5</v>
      </c>
      <c r="O218" s="934">
        <v>22.941303838008572</v>
      </c>
      <c r="P218" s="934">
        <v>0</v>
      </c>
      <c r="Q218" s="934">
        <v>0.14221614350079198</v>
      </c>
      <c r="R218" s="935">
        <f t="shared" si="117"/>
        <v>0.25951951582067828</v>
      </c>
      <c r="S218" s="898">
        <f t="shared" si="118"/>
        <v>0.79</v>
      </c>
      <c r="T218" s="898">
        <f t="shared" si="119"/>
        <v>0.26</v>
      </c>
      <c r="U218" s="898">
        <f t="shared" si="120"/>
        <v>0.13</v>
      </c>
      <c r="V218" s="898">
        <f t="shared" si="121"/>
        <v>0</v>
      </c>
      <c r="W218" s="945">
        <f t="shared" si="122"/>
        <v>0</v>
      </c>
      <c r="X218" s="656">
        <f t="shared" si="123"/>
        <v>1</v>
      </c>
      <c r="Y218" s="656">
        <f t="shared" si="123"/>
        <v>1</v>
      </c>
      <c r="Z218" s="656">
        <f t="shared" si="123"/>
        <v>0</v>
      </c>
      <c r="AA218" s="656">
        <f t="shared" si="123"/>
        <v>0</v>
      </c>
      <c r="AB218" s="946">
        <f t="shared" si="123"/>
        <v>0</v>
      </c>
      <c r="AC218" s="1108"/>
      <c r="AD218" s="10"/>
      <c r="AE218" s="10"/>
      <c r="AF218" s="10"/>
      <c r="AG218" s="10"/>
      <c r="AH218" s="10"/>
      <c r="AI218" s="10"/>
      <c r="AJ218" s="10"/>
      <c r="AK218" s="10"/>
      <c r="AL218" s="10"/>
      <c r="AM218" s="10"/>
      <c r="AN218" s="10"/>
      <c r="AO218" s="10"/>
      <c r="AP218" s="10"/>
      <c r="AQ218" s="10"/>
      <c r="AR218" s="10"/>
      <c r="AS218" s="10"/>
      <c r="AT218" s="10"/>
      <c r="AU218" s="10"/>
      <c r="AV218" s="10"/>
      <c r="AW218" s="10"/>
      <c r="AX218" s="10"/>
    </row>
    <row r="219" spans="1:50" ht="15">
      <c r="A219" s="1113"/>
      <c r="B219" s="961" t="s">
        <v>1408</v>
      </c>
      <c r="C219" s="962"/>
      <c r="D219" s="1059" t="s">
        <v>1396</v>
      </c>
      <c r="E219" s="1060" t="s">
        <v>283</v>
      </c>
      <c r="F219" s="968">
        <v>9</v>
      </c>
      <c r="G219" s="965">
        <v>7.5</v>
      </c>
      <c r="H219" s="942">
        <v>4.8153008722220498</v>
      </c>
      <c r="I219" s="943">
        <v>1.2056151041666612</v>
      </c>
      <c r="J219" s="943">
        <v>29.363871153888432</v>
      </c>
      <c r="K219" s="943">
        <v>0.3296076</v>
      </c>
      <c r="L219" s="944">
        <v>0</v>
      </c>
      <c r="M219" s="934">
        <v>1.0586700748083202</v>
      </c>
      <c r="N219" s="934">
        <v>2.6087183107301131E-5</v>
      </c>
      <c r="O219" s="934">
        <v>22.941303838008572</v>
      </c>
      <c r="P219" s="934">
        <v>0</v>
      </c>
      <c r="Q219" s="934">
        <v>0.14221614350079198</v>
      </c>
      <c r="R219" s="935">
        <f t="shared" si="117"/>
        <v>0.23818800952420191</v>
      </c>
      <c r="S219" s="898">
        <f t="shared" si="118"/>
        <v>0.79</v>
      </c>
      <c r="T219" s="898">
        <f t="shared" si="119"/>
        <v>0.26</v>
      </c>
      <c r="U219" s="898">
        <f t="shared" si="120"/>
        <v>0.13</v>
      </c>
      <c r="V219" s="898">
        <f t="shared" si="121"/>
        <v>0</v>
      </c>
      <c r="W219" s="945">
        <f t="shared" si="122"/>
        <v>0</v>
      </c>
      <c r="X219" s="656">
        <f t="shared" si="123"/>
        <v>1</v>
      </c>
      <c r="Y219" s="656">
        <f t="shared" si="123"/>
        <v>1</v>
      </c>
      <c r="Z219" s="656">
        <f t="shared" si="123"/>
        <v>0</v>
      </c>
      <c r="AA219" s="656">
        <f t="shared" si="123"/>
        <v>0</v>
      </c>
      <c r="AB219" s="946">
        <f t="shared" si="123"/>
        <v>0</v>
      </c>
      <c r="AC219" s="1108"/>
      <c r="AD219" s="1061"/>
      <c r="AE219" s="1061"/>
      <c r="AF219" s="1061"/>
      <c r="AG219" s="1061"/>
      <c r="AH219" s="1061"/>
      <c r="AI219" s="1061"/>
      <c r="AJ219" s="1061"/>
      <c r="AK219" s="1061"/>
      <c r="AL219" s="1061"/>
      <c r="AM219" s="1061"/>
      <c r="AN219" s="1061"/>
      <c r="AO219" s="1061"/>
      <c r="AP219" s="1061"/>
      <c r="AQ219" s="1061"/>
      <c r="AR219" s="1061"/>
      <c r="AS219" s="1061"/>
      <c r="AT219" s="1061"/>
      <c r="AU219" s="1061"/>
      <c r="AV219" s="1061"/>
      <c r="AW219" s="1061"/>
      <c r="AX219" s="1061"/>
    </row>
    <row r="220" spans="1:50" ht="15">
      <c r="A220" s="1108"/>
      <c r="B220" s="961">
        <v>77</v>
      </c>
      <c r="C220" s="927"/>
      <c r="D220" s="928" t="s">
        <v>1409</v>
      </c>
      <c r="E220" s="928">
        <v>16</v>
      </c>
      <c r="F220" s="929">
        <v>10</v>
      </c>
      <c r="G220" s="930">
        <v>24</v>
      </c>
      <c r="H220" s="942">
        <v>80.93056</v>
      </c>
      <c r="I220" s="943">
        <v>28.467962799999999</v>
      </c>
      <c r="J220" s="943">
        <v>626.67066</v>
      </c>
      <c r="K220" s="943">
        <v>0</v>
      </c>
      <c r="L220" s="944">
        <v>0</v>
      </c>
      <c r="M220" s="934">
        <v>24</v>
      </c>
      <c r="N220" s="934">
        <v>0</v>
      </c>
      <c r="O220" s="934">
        <v>0</v>
      </c>
      <c r="P220" s="934">
        <v>0</v>
      </c>
      <c r="Q220" s="934">
        <v>0</v>
      </c>
      <c r="R220" s="935">
        <f t="shared" si="117"/>
        <v>249.37935412799999</v>
      </c>
      <c r="S220" s="898">
        <f t="shared" si="118"/>
        <v>19.27</v>
      </c>
      <c r="T220" s="898">
        <f t="shared" si="119"/>
        <v>6.13</v>
      </c>
      <c r="U220" s="898">
        <f t="shared" si="120"/>
        <v>4.03</v>
      </c>
      <c r="V220" s="898">
        <f t="shared" si="121"/>
        <v>1.49</v>
      </c>
      <c r="W220" s="945">
        <f t="shared" si="122"/>
        <v>0</v>
      </c>
      <c r="X220" s="656">
        <f t="shared" si="123"/>
        <v>0</v>
      </c>
      <c r="Y220" s="656">
        <f t="shared" si="123"/>
        <v>0</v>
      </c>
      <c r="Z220" s="656">
        <f t="shared" si="123"/>
        <v>0</v>
      </c>
      <c r="AA220" s="656">
        <f t="shared" si="123"/>
        <v>0</v>
      </c>
      <c r="AB220" s="946">
        <f t="shared" si="123"/>
        <v>0</v>
      </c>
      <c r="AC220" s="1108"/>
      <c r="AD220" s="1061"/>
      <c r="AE220" s="1061"/>
      <c r="AF220" s="1061"/>
      <c r="AG220" s="1061"/>
      <c r="AH220" s="1061"/>
      <c r="AI220" s="1061"/>
      <c r="AJ220" s="1061"/>
      <c r="AK220" s="1061"/>
      <c r="AL220" s="1061"/>
      <c r="AM220" s="1061"/>
      <c r="AN220" s="1061"/>
      <c r="AO220" s="1061"/>
      <c r="AP220" s="1061"/>
      <c r="AQ220" s="1061"/>
      <c r="AR220" s="1061"/>
      <c r="AS220" s="1061"/>
      <c r="AT220" s="1061"/>
      <c r="AU220" s="1061"/>
      <c r="AV220" s="1061"/>
      <c r="AW220" s="1061"/>
      <c r="AX220" s="1061"/>
    </row>
    <row r="221" spans="1:50" ht="15">
      <c r="A221" s="1108"/>
      <c r="B221" s="961">
        <v>78</v>
      </c>
      <c r="C221" s="927"/>
      <c r="D221" s="928" t="s">
        <v>1409</v>
      </c>
      <c r="E221" s="928">
        <v>16</v>
      </c>
      <c r="F221" s="929">
        <v>10</v>
      </c>
      <c r="G221" s="930">
        <v>12</v>
      </c>
      <c r="H221" s="942">
        <v>38.756340000000002</v>
      </c>
      <c r="I221" s="943">
        <v>2.57430878</v>
      </c>
      <c r="J221" s="943">
        <v>117.112486</v>
      </c>
      <c r="K221" s="943">
        <v>0</v>
      </c>
      <c r="L221" s="944">
        <v>0</v>
      </c>
      <c r="M221" s="934">
        <v>24</v>
      </c>
      <c r="N221" s="934">
        <v>0</v>
      </c>
      <c r="O221" s="934">
        <v>0</v>
      </c>
      <c r="P221" s="934">
        <v>0</v>
      </c>
      <c r="Q221" s="934">
        <v>0</v>
      </c>
      <c r="R221" s="935">
        <f t="shared" si="117"/>
        <v>22.550944912799999</v>
      </c>
      <c r="S221" s="898">
        <f t="shared" si="118"/>
        <v>19.27</v>
      </c>
      <c r="T221" s="898">
        <f t="shared" si="119"/>
        <v>6.13</v>
      </c>
      <c r="U221" s="898">
        <f t="shared" si="120"/>
        <v>4.03</v>
      </c>
      <c r="V221" s="898">
        <f t="shared" si="121"/>
        <v>1.49</v>
      </c>
      <c r="W221" s="945">
        <f t="shared" si="122"/>
        <v>0</v>
      </c>
      <c r="X221" s="656">
        <f t="shared" si="123"/>
        <v>0</v>
      </c>
      <c r="Y221" s="656">
        <f t="shared" si="123"/>
        <v>0</v>
      </c>
      <c r="Z221" s="656">
        <f t="shared" si="123"/>
        <v>0</v>
      </c>
      <c r="AA221" s="656">
        <f t="shared" si="123"/>
        <v>0</v>
      </c>
      <c r="AB221" s="946">
        <f t="shared" si="123"/>
        <v>0</v>
      </c>
      <c r="AC221" s="1108"/>
      <c r="AD221" s="1061"/>
      <c r="AE221" s="1061"/>
      <c r="AF221" s="1061"/>
      <c r="AG221" s="1061"/>
      <c r="AH221" s="1061"/>
      <c r="AI221" s="1061"/>
      <c r="AJ221" s="1061"/>
      <c r="AK221" s="1061"/>
      <c r="AL221" s="1061"/>
      <c r="AM221" s="1061"/>
      <c r="AN221" s="1061"/>
      <c r="AO221" s="1061"/>
      <c r="AP221" s="1061"/>
      <c r="AQ221" s="1061"/>
      <c r="AR221" s="1061"/>
      <c r="AS221" s="1061"/>
      <c r="AT221" s="1061"/>
      <c r="AU221" s="1061"/>
      <c r="AV221" s="1061"/>
      <c r="AW221" s="1061"/>
      <c r="AX221" s="1061"/>
    </row>
    <row r="222" spans="1:50" ht="15">
      <c r="A222" s="1108"/>
      <c r="B222" s="961">
        <v>86</v>
      </c>
      <c r="C222" s="927"/>
      <c r="D222" s="928" t="s">
        <v>1409</v>
      </c>
      <c r="E222" s="928">
        <v>16</v>
      </c>
      <c r="F222" s="929">
        <v>10</v>
      </c>
      <c r="G222" s="930">
        <v>24</v>
      </c>
      <c r="H222" s="942">
        <v>167.35455999999999</v>
      </c>
      <c r="I222" s="943">
        <v>20.035856899999999</v>
      </c>
      <c r="J222" s="943">
        <v>1829.2395300000001</v>
      </c>
      <c r="K222" s="943">
        <v>0</v>
      </c>
      <c r="L222" s="944">
        <v>0</v>
      </c>
      <c r="M222" s="934">
        <v>24</v>
      </c>
      <c r="N222" s="934">
        <v>0</v>
      </c>
      <c r="O222" s="934">
        <v>0</v>
      </c>
      <c r="P222" s="934">
        <v>0</v>
      </c>
      <c r="Q222" s="934">
        <v>0</v>
      </c>
      <c r="R222" s="935">
        <f t="shared" si="117"/>
        <v>175.51410644399999</v>
      </c>
      <c r="S222" s="898">
        <f t="shared" si="118"/>
        <v>19.27</v>
      </c>
      <c r="T222" s="898">
        <f t="shared" si="119"/>
        <v>6.13</v>
      </c>
      <c r="U222" s="898">
        <f t="shared" si="120"/>
        <v>4.03</v>
      </c>
      <c r="V222" s="898">
        <f t="shared" si="121"/>
        <v>1.49</v>
      </c>
      <c r="W222" s="945">
        <f t="shared" si="122"/>
        <v>0</v>
      </c>
      <c r="X222" s="656">
        <f t="shared" si="123"/>
        <v>0</v>
      </c>
      <c r="Y222" s="656">
        <f t="shared" si="123"/>
        <v>0</v>
      </c>
      <c r="Z222" s="656">
        <f t="shared" si="123"/>
        <v>0</v>
      </c>
      <c r="AA222" s="656">
        <f t="shared" si="123"/>
        <v>0</v>
      </c>
      <c r="AB222" s="946">
        <f t="shared" si="123"/>
        <v>0</v>
      </c>
      <c r="AC222" s="1108"/>
      <c r="AD222" s="1061"/>
      <c r="AE222" s="1061"/>
      <c r="AF222" s="1061"/>
      <c r="AG222" s="1061"/>
      <c r="AH222" s="1061"/>
      <c r="AI222" s="1061"/>
      <c r="AJ222" s="1061"/>
      <c r="AK222" s="1061"/>
      <c r="AL222" s="1061"/>
      <c r="AM222" s="1061"/>
      <c r="AN222" s="1061"/>
      <c r="AO222" s="1061"/>
      <c r="AP222" s="1061"/>
      <c r="AQ222" s="1061"/>
      <c r="AR222" s="1061"/>
      <c r="AS222" s="1061"/>
      <c r="AT222" s="1061"/>
      <c r="AU222" s="1061"/>
      <c r="AV222" s="1061"/>
      <c r="AW222" s="1061"/>
      <c r="AX222" s="1061"/>
    </row>
    <row r="223" spans="1:50" ht="15">
      <c r="A223" s="1108"/>
      <c r="B223" s="961">
        <v>87</v>
      </c>
      <c r="C223" s="927"/>
      <c r="D223" s="928" t="s">
        <v>1409</v>
      </c>
      <c r="E223" s="928">
        <v>16</v>
      </c>
      <c r="F223" s="929">
        <v>10</v>
      </c>
      <c r="G223" s="930">
        <v>12</v>
      </c>
      <c r="H223" s="942">
        <v>39.349739999999997</v>
      </c>
      <c r="I223" s="943">
        <v>2.0969706000000001</v>
      </c>
      <c r="J223" s="943">
        <v>235.87944899999999</v>
      </c>
      <c r="K223" s="943">
        <v>0</v>
      </c>
      <c r="L223" s="944">
        <v>0</v>
      </c>
      <c r="M223" s="934">
        <v>24</v>
      </c>
      <c r="N223" s="934">
        <v>0</v>
      </c>
      <c r="O223" s="934">
        <v>0</v>
      </c>
      <c r="P223" s="934">
        <v>0</v>
      </c>
      <c r="Q223" s="934">
        <v>0</v>
      </c>
      <c r="R223" s="935">
        <f t="shared" si="117"/>
        <v>18.369462456000001</v>
      </c>
      <c r="S223" s="898">
        <f t="shared" si="118"/>
        <v>19.27</v>
      </c>
      <c r="T223" s="898">
        <f t="shared" si="119"/>
        <v>6.13</v>
      </c>
      <c r="U223" s="898">
        <f t="shared" si="120"/>
        <v>4.03</v>
      </c>
      <c r="V223" s="898">
        <f t="shared" si="121"/>
        <v>1.49</v>
      </c>
      <c r="W223" s="945">
        <f t="shared" si="122"/>
        <v>0</v>
      </c>
      <c r="X223" s="656">
        <f t="shared" si="123"/>
        <v>1</v>
      </c>
      <c r="Y223" s="656">
        <f t="shared" si="123"/>
        <v>0</v>
      </c>
      <c r="Z223" s="656">
        <f t="shared" si="123"/>
        <v>0</v>
      </c>
      <c r="AA223" s="656">
        <f t="shared" si="123"/>
        <v>0</v>
      </c>
      <c r="AB223" s="946">
        <f t="shared" si="123"/>
        <v>0</v>
      </c>
      <c r="AC223" s="1108"/>
      <c r="AD223" s="1061"/>
      <c r="AE223" s="1061"/>
      <c r="AF223" s="1061"/>
      <c r="AG223" s="1061"/>
      <c r="AH223" s="1061"/>
      <c r="AI223" s="1061"/>
      <c r="AJ223" s="1061"/>
      <c r="AK223" s="1061"/>
      <c r="AL223" s="1061"/>
      <c r="AM223" s="1061"/>
      <c r="AN223" s="1061"/>
      <c r="AO223" s="1061"/>
      <c r="AP223" s="1061"/>
      <c r="AQ223" s="1061"/>
      <c r="AR223" s="1061"/>
      <c r="AS223" s="1061"/>
      <c r="AT223" s="1061"/>
      <c r="AU223" s="1061"/>
      <c r="AV223" s="1061"/>
      <c r="AW223" s="1061"/>
      <c r="AX223" s="1061"/>
    </row>
    <row r="224" spans="1:50" ht="15">
      <c r="A224" s="1110"/>
      <c r="B224" s="965" t="s">
        <v>1410</v>
      </c>
      <c r="C224" s="966"/>
      <c r="D224" s="928" t="s">
        <v>1409</v>
      </c>
      <c r="E224" s="928">
        <v>16</v>
      </c>
      <c r="F224" s="968">
        <v>10</v>
      </c>
      <c r="G224" s="965">
        <v>12</v>
      </c>
      <c r="H224" s="958">
        <v>77.961483333336687</v>
      </c>
      <c r="I224" s="959">
        <v>2.2374999999999972</v>
      </c>
      <c r="J224" s="959">
        <v>149.89186458333333</v>
      </c>
      <c r="K224" s="943">
        <v>0</v>
      </c>
      <c r="L224" s="944">
        <v>0</v>
      </c>
      <c r="M224" s="934">
        <v>24</v>
      </c>
      <c r="N224" s="934">
        <v>0</v>
      </c>
      <c r="O224" s="934">
        <v>0</v>
      </c>
      <c r="P224" s="934">
        <v>0</v>
      </c>
      <c r="Q224" s="934">
        <v>0</v>
      </c>
      <c r="R224" s="935">
        <f t="shared" si="117"/>
        <v>19.600499999999975</v>
      </c>
      <c r="S224" s="898">
        <f t="shared" si="118"/>
        <v>19.27</v>
      </c>
      <c r="T224" s="898">
        <f t="shared" si="119"/>
        <v>6.13</v>
      </c>
      <c r="U224" s="898">
        <f t="shared" si="120"/>
        <v>4.03</v>
      </c>
      <c r="V224" s="898">
        <f t="shared" si="121"/>
        <v>1.49</v>
      </c>
      <c r="W224" s="945">
        <f t="shared" si="122"/>
        <v>0</v>
      </c>
      <c r="X224" s="656">
        <f t="shared" si="123"/>
        <v>0</v>
      </c>
      <c r="Y224" s="656">
        <f t="shared" si="123"/>
        <v>0</v>
      </c>
      <c r="Z224" s="656">
        <f t="shared" si="123"/>
        <v>0</v>
      </c>
      <c r="AA224" s="656">
        <f t="shared" si="123"/>
        <v>0</v>
      </c>
      <c r="AB224" s="946">
        <f t="shared" si="123"/>
        <v>0</v>
      </c>
      <c r="AC224" s="1108"/>
      <c r="AD224" s="1061"/>
      <c r="AE224" s="1061"/>
      <c r="AF224" s="1061"/>
      <c r="AG224" s="1061"/>
      <c r="AH224" s="1061"/>
      <c r="AI224" s="1061"/>
      <c r="AJ224" s="1061"/>
      <c r="AK224" s="1061"/>
      <c r="AL224" s="1061"/>
      <c r="AM224" s="1061"/>
      <c r="AN224" s="1061"/>
      <c r="AO224" s="1061"/>
      <c r="AP224" s="1061"/>
      <c r="AQ224" s="1061"/>
      <c r="AR224" s="1061"/>
      <c r="AS224" s="1061"/>
      <c r="AT224" s="1061"/>
      <c r="AU224" s="1061"/>
      <c r="AV224" s="1061"/>
      <c r="AW224" s="1061"/>
      <c r="AX224" s="1061"/>
    </row>
    <row r="225" spans="1:50" ht="15">
      <c r="A225" s="1110"/>
      <c r="B225" s="963" t="s">
        <v>1411</v>
      </c>
      <c r="C225" s="927"/>
      <c r="D225" s="928" t="s">
        <v>1409</v>
      </c>
      <c r="E225" s="928">
        <v>16</v>
      </c>
      <c r="F225" s="929">
        <v>10</v>
      </c>
      <c r="G225" s="930">
        <v>12</v>
      </c>
      <c r="H225" s="958">
        <v>80.291817244445184</v>
      </c>
      <c r="I225" s="959">
        <v>7.4399999999999977</v>
      </c>
      <c r="J225" s="959">
        <v>291.52199999999999</v>
      </c>
      <c r="K225" s="943">
        <v>0</v>
      </c>
      <c r="L225" s="944">
        <v>0</v>
      </c>
      <c r="M225" s="934">
        <v>24</v>
      </c>
      <c r="N225" s="934">
        <v>0</v>
      </c>
      <c r="O225" s="934">
        <v>0</v>
      </c>
      <c r="P225" s="934">
        <v>0</v>
      </c>
      <c r="Q225" s="934">
        <v>0</v>
      </c>
      <c r="R225" s="935">
        <f t="shared" si="117"/>
        <v>65.174399999999977</v>
      </c>
      <c r="S225" s="898">
        <f t="shared" si="118"/>
        <v>19.27</v>
      </c>
      <c r="T225" s="898">
        <f t="shared" si="119"/>
        <v>6.13</v>
      </c>
      <c r="U225" s="898">
        <f t="shared" si="120"/>
        <v>4.03</v>
      </c>
      <c r="V225" s="898">
        <f t="shared" si="121"/>
        <v>1.49</v>
      </c>
      <c r="W225" s="945">
        <f t="shared" si="122"/>
        <v>0</v>
      </c>
      <c r="X225" s="656">
        <f t="shared" si="123"/>
        <v>0</v>
      </c>
      <c r="Y225" s="656">
        <f t="shared" si="123"/>
        <v>0</v>
      </c>
      <c r="Z225" s="656">
        <f t="shared" si="123"/>
        <v>0</v>
      </c>
      <c r="AA225" s="656">
        <f t="shared" si="123"/>
        <v>0</v>
      </c>
      <c r="AB225" s="946">
        <f t="shared" si="123"/>
        <v>0</v>
      </c>
      <c r="AC225" s="1108"/>
      <c r="AD225" s="1061"/>
      <c r="AE225" s="1061"/>
      <c r="AF225" s="1061"/>
      <c r="AG225" s="1061"/>
      <c r="AH225" s="1061"/>
      <c r="AI225" s="1061"/>
      <c r="AJ225" s="1061"/>
      <c r="AK225" s="1061"/>
      <c r="AL225" s="1061"/>
      <c r="AM225" s="1061"/>
      <c r="AN225" s="1061"/>
      <c r="AO225" s="1061"/>
      <c r="AP225" s="1061"/>
      <c r="AQ225" s="1061"/>
      <c r="AR225" s="1061"/>
      <c r="AS225" s="1061"/>
      <c r="AT225" s="1061"/>
      <c r="AU225" s="1061"/>
      <c r="AV225" s="1061"/>
      <c r="AW225" s="1061"/>
      <c r="AX225" s="1061"/>
    </row>
    <row r="226" spans="1:50" ht="15">
      <c r="A226" s="1109"/>
      <c r="B226" s="963" t="s">
        <v>1412</v>
      </c>
      <c r="C226" s="927"/>
      <c r="D226" s="928" t="s">
        <v>1409</v>
      </c>
      <c r="E226" s="928">
        <v>16</v>
      </c>
      <c r="F226" s="929">
        <v>10</v>
      </c>
      <c r="G226" s="930">
        <v>12</v>
      </c>
      <c r="H226" s="958">
        <v>67.020725888890055</v>
      </c>
      <c r="I226" s="959">
        <v>20.269999999999982</v>
      </c>
      <c r="J226" s="959">
        <v>598.18783333333329</v>
      </c>
      <c r="K226" s="943">
        <v>0</v>
      </c>
      <c r="L226" s="944">
        <v>0</v>
      </c>
      <c r="M226" s="934">
        <v>24</v>
      </c>
      <c r="N226" s="934">
        <v>0</v>
      </c>
      <c r="O226" s="934">
        <v>0</v>
      </c>
      <c r="P226" s="934">
        <v>0</v>
      </c>
      <c r="Q226" s="934">
        <v>0</v>
      </c>
      <c r="R226" s="935">
        <f t="shared" si="117"/>
        <v>177.56519999999983</v>
      </c>
      <c r="S226" s="898">
        <f t="shared" si="118"/>
        <v>19.27</v>
      </c>
      <c r="T226" s="898">
        <f t="shared" si="119"/>
        <v>6.13</v>
      </c>
      <c r="U226" s="898">
        <f t="shared" si="120"/>
        <v>4.03</v>
      </c>
      <c r="V226" s="898">
        <f t="shared" si="121"/>
        <v>1.49</v>
      </c>
      <c r="W226" s="945">
        <f t="shared" si="122"/>
        <v>0</v>
      </c>
      <c r="X226" s="656">
        <f t="shared" si="123"/>
        <v>0</v>
      </c>
      <c r="Y226" s="656">
        <f t="shared" si="123"/>
        <v>0</v>
      </c>
      <c r="Z226" s="656">
        <f t="shared" si="123"/>
        <v>0</v>
      </c>
      <c r="AA226" s="656">
        <f t="shared" si="123"/>
        <v>0</v>
      </c>
      <c r="AB226" s="946">
        <f t="shared" si="123"/>
        <v>0</v>
      </c>
      <c r="AC226" s="1108"/>
      <c r="AD226" s="1061"/>
      <c r="AE226" s="1061"/>
      <c r="AF226" s="1061"/>
      <c r="AG226" s="1061"/>
      <c r="AH226" s="1061"/>
      <c r="AI226" s="1061"/>
      <c r="AJ226" s="1061"/>
      <c r="AK226" s="1061"/>
      <c r="AL226" s="1061"/>
      <c r="AM226" s="1061"/>
      <c r="AN226" s="1061"/>
      <c r="AO226" s="1061"/>
      <c r="AP226" s="1061"/>
      <c r="AQ226" s="1061"/>
      <c r="AR226" s="1061"/>
      <c r="AS226" s="1061"/>
      <c r="AT226" s="1061"/>
      <c r="AU226" s="1061"/>
      <c r="AV226" s="1061"/>
      <c r="AW226" s="1061"/>
      <c r="AX226" s="1061"/>
    </row>
    <row r="227" spans="1:50" ht="15">
      <c r="A227" s="1110"/>
      <c r="B227" s="965" t="s">
        <v>1413</v>
      </c>
      <c r="C227" s="966"/>
      <c r="D227" s="928" t="s">
        <v>1409</v>
      </c>
      <c r="E227" s="928">
        <v>16</v>
      </c>
      <c r="F227" s="968">
        <v>10</v>
      </c>
      <c r="G227" s="965">
        <v>12</v>
      </c>
      <c r="H227" s="958">
        <v>51.682018033333549</v>
      </c>
      <c r="I227" s="959">
        <v>0.72799999999999443</v>
      </c>
      <c r="J227" s="959">
        <v>93.008679999999956</v>
      </c>
      <c r="K227" s="943">
        <v>0</v>
      </c>
      <c r="L227" s="944">
        <v>0</v>
      </c>
      <c r="M227" s="934">
        <v>24</v>
      </c>
      <c r="N227" s="934">
        <v>0</v>
      </c>
      <c r="O227" s="934">
        <v>0</v>
      </c>
      <c r="P227" s="934">
        <v>0</v>
      </c>
      <c r="Q227" s="934">
        <v>0</v>
      </c>
      <c r="R227" s="935">
        <f t="shared" si="117"/>
        <v>6.377279999999951</v>
      </c>
      <c r="S227" s="898">
        <f t="shared" si="118"/>
        <v>19.27</v>
      </c>
      <c r="T227" s="898">
        <f t="shared" si="119"/>
        <v>6.13</v>
      </c>
      <c r="U227" s="898">
        <f t="shared" si="120"/>
        <v>4.03</v>
      </c>
      <c r="V227" s="898">
        <f t="shared" si="121"/>
        <v>1.49</v>
      </c>
      <c r="W227" s="945">
        <f t="shared" si="122"/>
        <v>0</v>
      </c>
      <c r="X227" s="656">
        <f t="shared" si="123"/>
        <v>1</v>
      </c>
      <c r="Y227" s="656">
        <f t="shared" si="123"/>
        <v>0</v>
      </c>
      <c r="Z227" s="656">
        <f t="shared" si="123"/>
        <v>0</v>
      </c>
      <c r="AA227" s="656">
        <f t="shared" si="123"/>
        <v>0</v>
      </c>
      <c r="AB227" s="946">
        <f t="shared" si="123"/>
        <v>0</v>
      </c>
      <c r="AC227" s="1108"/>
      <c r="AD227" s="1061"/>
      <c r="AE227" s="1061"/>
      <c r="AF227" s="1061"/>
      <c r="AG227" s="1061"/>
      <c r="AH227" s="1061"/>
      <c r="AI227" s="1061"/>
      <c r="AJ227" s="1061"/>
      <c r="AK227" s="1061"/>
      <c r="AL227" s="1061"/>
      <c r="AM227" s="1061"/>
      <c r="AN227" s="1061"/>
      <c r="AO227" s="1061"/>
      <c r="AP227" s="1061"/>
      <c r="AQ227" s="1061"/>
      <c r="AR227" s="1061"/>
      <c r="AS227" s="1061"/>
      <c r="AT227" s="1061"/>
      <c r="AU227" s="1061"/>
      <c r="AV227" s="1061"/>
      <c r="AW227" s="1061"/>
      <c r="AX227" s="1061"/>
    </row>
    <row r="228" spans="1:50" ht="15">
      <c r="A228" s="1109"/>
      <c r="B228" s="957" t="s">
        <v>1414</v>
      </c>
      <c r="C228" s="927"/>
      <c r="D228" s="928" t="s">
        <v>1409</v>
      </c>
      <c r="E228" s="928">
        <v>16</v>
      </c>
      <c r="F228" s="929">
        <v>10</v>
      </c>
      <c r="G228" s="930">
        <v>12</v>
      </c>
      <c r="H228" s="958">
        <v>58.253593999999993</v>
      </c>
      <c r="I228" s="959">
        <v>3.5900000000000034</v>
      </c>
      <c r="J228" s="959">
        <v>162.79681388888889</v>
      </c>
      <c r="K228" s="943">
        <v>0</v>
      </c>
      <c r="L228" s="944">
        <v>0</v>
      </c>
      <c r="M228" s="934">
        <v>24</v>
      </c>
      <c r="N228" s="934">
        <v>0</v>
      </c>
      <c r="O228" s="934">
        <v>0</v>
      </c>
      <c r="P228" s="934">
        <v>0</v>
      </c>
      <c r="Q228" s="934">
        <v>0</v>
      </c>
      <c r="R228" s="935">
        <f t="shared" si="117"/>
        <v>31.448400000000028</v>
      </c>
      <c r="S228" s="898">
        <f t="shared" si="118"/>
        <v>19.27</v>
      </c>
      <c r="T228" s="898">
        <f t="shared" si="119"/>
        <v>6.13</v>
      </c>
      <c r="U228" s="898">
        <f t="shared" si="120"/>
        <v>4.03</v>
      </c>
      <c r="V228" s="898">
        <f t="shared" si="121"/>
        <v>1.49</v>
      </c>
      <c r="W228" s="945">
        <f t="shared" si="122"/>
        <v>0</v>
      </c>
      <c r="X228" s="656">
        <f t="shared" si="123"/>
        <v>0</v>
      </c>
      <c r="Y228" s="656">
        <f t="shared" si="123"/>
        <v>0</v>
      </c>
      <c r="Z228" s="656">
        <f t="shared" si="123"/>
        <v>0</v>
      </c>
      <c r="AA228" s="656">
        <f t="shared" si="123"/>
        <v>0</v>
      </c>
      <c r="AB228" s="946">
        <f t="shared" si="123"/>
        <v>0</v>
      </c>
      <c r="AC228" s="1108"/>
      <c r="AD228" s="1061"/>
      <c r="AE228" s="1061"/>
      <c r="AF228" s="1061"/>
      <c r="AG228" s="1061"/>
      <c r="AH228" s="1061"/>
      <c r="AI228" s="1061"/>
      <c r="AJ228" s="1061"/>
      <c r="AK228" s="1061"/>
      <c r="AL228" s="1061"/>
      <c r="AM228" s="1061"/>
      <c r="AN228" s="1061"/>
      <c r="AO228" s="1061"/>
      <c r="AP228" s="1061"/>
      <c r="AQ228" s="1061"/>
      <c r="AR228" s="1061"/>
      <c r="AS228" s="1061"/>
      <c r="AT228" s="1061"/>
      <c r="AU228" s="1061"/>
      <c r="AV228" s="1061"/>
      <c r="AW228" s="1061"/>
      <c r="AX228" s="1061"/>
    </row>
    <row r="229" spans="1:50" ht="15.75" thickBot="1">
      <c r="A229" s="1108"/>
      <c r="B229" s="1062">
        <v>1011</v>
      </c>
      <c r="C229" s="1063"/>
      <c r="D229" s="1064" t="s">
        <v>1409</v>
      </c>
      <c r="E229" s="1064">
        <v>16</v>
      </c>
      <c r="F229" s="1065">
        <v>10</v>
      </c>
      <c r="G229" s="1066">
        <v>12</v>
      </c>
      <c r="H229" s="1067">
        <v>74.835619940151275</v>
      </c>
      <c r="I229" s="1068">
        <v>4.6588000000000012</v>
      </c>
      <c r="J229" s="1068">
        <v>190.51</v>
      </c>
      <c r="K229" s="1068">
        <v>1.6233333333333333</v>
      </c>
      <c r="L229" s="1069">
        <v>0</v>
      </c>
      <c r="M229" s="934">
        <v>24</v>
      </c>
      <c r="N229" s="934">
        <v>0</v>
      </c>
      <c r="O229" s="934">
        <v>0</v>
      </c>
      <c r="P229" s="934">
        <v>0</v>
      </c>
      <c r="Q229" s="934">
        <v>0</v>
      </c>
      <c r="R229" s="935">
        <f t="shared" si="117"/>
        <v>40.811088000000012</v>
      </c>
      <c r="S229" s="898">
        <f t="shared" si="118"/>
        <v>19.27</v>
      </c>
      <c r="T229" s="898">
        <f t="shared" si="119"/>
        <v>6.13</v>
      </c>
      <c r="U229" s="898">
        <f t="shared" si="120"/>
        <v>4.03</v>
      </c>
      <c r="V229" s="898">
        <f t="shared" si="121"/>
        <v>1.49</v>
      </c>
      <c r="W229" s="945">
        <f t="shared" si="122"/>
        <v>0</v>
      </c>
      <c r="X229" s="656">
        <f t="shared" si="123"/>
        <v>0</v>
      </c>
      <c r="Y229" s="656">
        <f t="shared" si="123"/>
        <v>0</v>
      </c>
      <c r="Z229" s="656">
        <f t="shared" si="123"/>
        <v>0</v>
      </c>
      <c r="AA229" s="656">
        <f t="shared" si="123"/>
        <v>0</v>
      </c>
      <c r="AB229" s="946">
        <f t="shared" si="123"/>
        <v>0</v>
      </c>
      <c r="AC229" s="1108"/>
      <c r="AD229" s="1061"/>
      <c r="AE229" s="1061"/>
      <c r="AF229" s="1061"/>
      <c r="AG229" s="1061"/>
      <c r="AH229" s="1061"/>
      <c r="AI229" s="1061"/>
      <c r="AJ229" s="1061"/>
      <c r="AK229" s="1061"/>
      <c r="AL229" s="1061"/>
      <c r="AM229" s="1061"/>
      <c r="AN229" s="1061"/>
      <c r="AO229" s="1061"/>
      <c r="AP229" s="1061"/>
      <c r="AQ229" s="1061"/>
      <c r="AR229" s="1061"/>
      <c r="AS229" s="1061"/>
      <c r="AT229" s="1061"/>
      <c r="AU229" s="1061"/>
      <c r="AV229" s="1061"/>
      <c r="AW229" s="1061"/>
      <c r="AX229" s="1061"/>
    </row>
    <row r="230" spans="1:50" ht="15">
      <c r="A230" s="1110"/>
      <c r="B230" s="1110"/>
      <c r="C230" s="1114"/>
      <c r="D230" s="1115"/>
      <c r="E230" s="1115"/>
      <c r="F230" s="1110"/>
      <c r="G230" s="1110"/>
      <c r="H230" s="1116"/>
      <c r="I230" s="1117"/>
      <c r="J230" s="1110"/>
      <c r="K230" s="1116"/>
      <c r="L230" s="1116"/>
      <c r="M230" s="1105"/>
      <c r="N230" s="1118"/>
      <c r="O230" s="1106"/>
      <c r="P230" s="1102"/>
      <c r="Q230" s="1102"/>
      <c r="R230" s="1102"/>
      <c r="S230" s="1102"/>
      <c r="T230" s="1102"/>
      <c r="U230" s="1102"/>
      <c r="V230" s="1102"/>
      <c r="W230" s="1102"/>
      <c r="X230" s="1102"/>
      <c r="Y230" s="1102"/>
      <c r="Z230" s="1102"/>
      <c r="AA230" s="1102"/>
      <c r="AB230" s="1102"/>
      <c r="AC230" s="1102"/>
      <c r="AD230" s="1061"/>
      <c r="AE230" s="1061"/>
      <c r="AF230" s="1061"/>
      <c r="AG230" s="1061"/>
      <c r="AH230" s="1061"/>
      <c r="AI230" s="1061"/>
      <c r="AJ230" s="1061"/>
      <c r="AK230" s="1061"/>
      <c r="AL230" s="1061"/>
      <c r="AM230" s="1061"/>
      <c r="AN230" s="1061"/>
      <c r="AO230" s="1061"/>
      <c r="AP230" s="1061"/>
      <c r="AQ230" s="1061"/>
      <c r="AR230" s="1061"/>
      <c r="AS230" s="1061"/>
      <c r="AT230" s="1061"/>
      <c r="AU230" s="1061"/>
      <c r="AV230" s="1061"/>
      <c r="AW230" s="1061"/>
      <c r="AX230" s="1061"/>
    </row>
    <row r="231" spans="1:50" ht="15">
      <c r="A231" s="1102"/>
      <c r="B231" s="1102"/>
      <c r="C231" s="1103"/>
      <c r="D231" s="1103"/>
      <c r="E231" s="1103"/>
      <c r="F231" s="1102"/>
      <c r="G231" s="1102"/>
      <c r="H231" s="1104"/>
      <c r="I231" s="1102"/>
      <c r="J231" s="1102"/>
      <c r="K231" s="1102"/>
      <c r="L231" s="1102"/>
      <c r="M231" s="1105"/>
      <c r="N231" s="1102"/>
      <c r="O231" s="1106"/>
      <c r="P231" s="1102"/>
      <c r="Q231" s="1102"/>
      <c r="R231" s="1102"/>
      <c r="S231" s="1102"/>
      <c r="T231" s="1102"/>
      <c r="U231" s="1102"/>
      <c r="V231" s="1102"/>
      <c r="W231" s="1102"/>
      <c r="X231" s="1102"/>
      <c r="Y231" s="1102"/>
      <c r="Z231" s="1102"/>
      <c r="AA231" s="1102"/>
      <c r="AB231" s="1102"/>
      <c r="AC231" s="1102"/>
      <c r="AD231" s="1061"/>
      <c r="AE231" s="1061"/>
      <c r="AF231" s="1061"/>
      <c r="AG231" s="1061"/>
      <c r="AH231" s="1061"/>
      <c r="AI231" s="1061"/>
      <c r="AJ231" s="1061"/>
      <c r="AK231" s="1061"/>
      <c r="AL231" s="1061"/>
      <c r="AM231" s="1061"/>
      <c r="AN231" s="1061"/>
      <c r="AO231" s="1061"/>
      <c r="AP231" s="1061"/>
      <c r="AQ231" s="1061"/>
      <c r="AR231" s="1061"/>
      <c r="AS231" s="1061"/>
      <c r="AT231" s="1061"/>
      <c r="AU231" s="1061"/>
      <c r="AV231" s="1061"/>
      <c r="AW231" s="1061"/>
      <c r="AX231" s="1061"/>
    </row>
    <row r="232" spans="1:50" ht="13.5" thickBot="1">
      <c r="AB232" s="896"/>
      <c r="AC232" s="896"/>
      <c r="AD232" s="1061"/>
      <c r="AE232" s="1061"/>
      <c r="AF232" s="1061"/>
      <c r="AG232" s="1061"/>
      <c r="AH232" s="1061"/>
      <c r="AI232" s="1061"/>
      <c r="AJ232" s="1061"/>
      <c r="AK232" s="1061"/>
      <c r="AL232" s="1061"/>
      <c r="AM232" s="1061"/>
      <c r="AN232" s="1061"/>
      <c r="AO232" s="1061"/>
      <c r="AP232" s="1061"/>
      <c r="AQ232" s="1061"/>
      <c r="AR232" s="1061"/>
      <c r="AS232" s="1061"/>
      <c r="AT232" s="1061"/>
      <c r="AU232" s="1061"/>
      <c r="AV232" s="1061"/>
      <c r="AW232" s="1061"/>
      <c r="AX232" s="1061"/>
    </row>
    <row r="233" spans="1:50" ht="15.75" thickBot="1">
      <c r="B233" s="1191" t="s">
        <v>1249</v>
      </c>
      <c r="C233" s="1192"/>
      <c r="D233" s="1192"/>
      <c r="E233" s="1192"/>
      <c r="F233" s="1193"/>
      <c r="G233" s="1194" t="s">
        <v>608</v>
      </c>
      <c r="H233" s="1195"/>
      <c r="I233" s="1194" t="s">
        <v>1415</v>
      </c>
      <c r="J233" s="1195"/>
      <c r="K233" s="1194" t="s">
        <v>1012</v>
      </c>
      <c r="L233" s="1195"/>
      <c r="M233" s="1194" t="s">
        <v>1416</v>
      </c>
      <c r="N233" s="1195"/>
      <c r="O233" s="1194" t="s">
        <v>610</v>
      </c>
      <c r="P233" s="1195"/>
      <c r="Q233" s="1194" t="s">
        <v>1417</v>
      </c>
      <c r="R233" s="1195"/>
      <c r="S233" s="1194" t="s">
        <v>611</v>
      </c>
      <c r="T233" s="1195"/>
      <c r="U233" s="1194" t="s">
        <v>1418</v>
      </c>
      <c r="V233" s="1195"/>
      <c r="W233" s="1194" t="s">
        <v>1274</v>
      </c>
      <c r="X233" s="1195"/>
      <c r="Y233" s="1194" t="s">
        <v>1419</v>
      </c>
      <c r="Z233" s="1195"/>
      <c r="AB233" s="896"/>
      <c r="AC233" s="896"/>
      <c r="AD233" s="1061"/>
      <c r="AE233" s="1061"/>
      <c r="AF233" s="1061"/>
      <c r="AG233" s="1061"/>
      <c r="AH233" s="1061"/>
      <c r="AI233" s="1061"/>
      <c r="AJ233" s="1061"/>
      <c r="AK233" s="1061"/>
      <c r="AL233" s="1061"/>
      <c r="AM233" s="1061"/>
      <c r="AN233" s="1061"/>
      <c r="AO233" s="1061"/>
      <c r="AP233" s="1061"/>
      <c r="AQ233" s="1061"/>
      <c r="AR233" s="1061"/>
      <c r="AS233" s="1061"/>
      <c r="AT233" s="1061"/>
      <c r="AU233" s="1061"/>
      <c r="AV233" s="1061"/>
      <c r="AW233" s="1061"/>
      <c r="AX233" s="1061"/>
    </row>
    <row r="234" spans="1:50" ht="60.75" thickBot="1">
      <c r="A234" s="1070" t="s">
        <v>1261</v>
      </c>
      <c r="B234" s="918" t="s">
        <v>1268</v>
      </c>
      <c r="C234" s="919" t="s">
        <v>1269</v>
      </c>
      <c r="D234" s="919" t="s">
        <v>1270</v>
      </c>
      <c r="E234" s="919" t="s">
        <v>1271</v>
      </c>
      <c r="F234" s="920" t="s">
        <v>1272</v>
      </c>
      <c r="G234" s="1071" t="s">
        <v>1420</v>
      </c>
      <c r="H234" s="1072" t="s">
        <v>1421</v>
      </c>
      <c r="I234" s="1071" t="s">
        <v>1422</v>
      </c>
      <c r="J234" s="1072" t="s">
        <v>1250</v>
      </c>
      <c r="K234" s="1071" t="s">
        <v>1423</v>
      </c>
      <c r="L234" s="1072" t="s">
        <v>1424</v>
      </c>
      <c r="M234" s="1071" t="s">
        <v>1422</v>
      </c>
      <c r="N234" s="1072" t="s">
        <v>1250</v>
      </c>
      <c r="O234" s="1071" t="s">
        <v>1425</v>
      </c>
      <c r="P234" s="1072" t="s">
        <v>1426</v>
      </c>
      <c r="Q234" s="1071" t="s">
        <v>1422</v>
      </c>
      <c r="R234" s="1072" t="s">
        <v>1250</v>
      </c>
      <c r="S234" s="1071" t="s">
        <v>1427</v>
      </c>
      <c r="T234" s="1072" t="s">
        <v>1428</v>
      </c>
      <c r="U234" s="1071" t="s">
        <v>1422</v>
      </c>
      <c r="V234" s="1072" t="s">
        <v>1250</v>
      </c>
      <c r="W234" s="1071" t="s">
        <v>1429</v>
      </c>
      <c r="X234" s="1072" t="s">
        <v>1430</v>
      </c>
      <c r="Y234" s="1071" t="s">
        <v>1422</v>
      </c>
      <c r="Z234" s="1072" t="s">
        <v>1250</v>
      </c>
      <c r="AB234" s="896"/>
      <c r="AC234" s="896"/>
      <c r="AD234" s="1061"/>
      <c r="AE234" s="1061"/>
      <c r="AF234" s="1061"/>
      <c r="AG234" s="1061"/>
      <c r="AH234" s="1061"/>
      <c r="AI234" s="1061"/>
      <c r="AJ234" s="1061"/>
      <c r="AK234" s="1061"/>
      <c r="AL234" s="1061"/>
      <c r="AM234" s="1061"/>
      <c r="AN234" s="1061"/>
      <c r="AO234" s="1061"/>
      <c r="AP234" s="1061"/>
      <c r="AQ234" s="1061"/>
      <c r="AR234" s="1061"/>
      <c r="AS234" s="1061"/>
      <c r="AT234" s="1061"/>
      <c r="AU234" s="1061"/>
      <c r="AV234" s="1061"/>
      <c r="AW234" s="1061"/>
      <c r="AX234" s="1061"/>
    </row>
    <row r="235" spans="1:50">
      <c r="A235">
        <v>1</v>
      </c>
      <c r="B235" s="1073">
        <v>20.66</v>
      </c>
      <c r="C235" s="1073">
        <v>0.1</v>
      </c>
      <c r="D235" s="1073">
        <v>3.24</v>
      </c>
      <c r="E235" s="1073">
        <v>0</v>
      </c>
      <c r="F235" s="1073">
        <v>0.15257142857142858</v>
      </c>
      <c r="G235" s="1074">
        <v>0</v>
      </c>
      <c r="H235" s="1074">
        <v>8.73</v>
      </c>
      <c r="I235" s="1074">
        <v>0</v>
      </c>
      <c r="J235" s="1075" t="s">
        <v>283</v>
      </c>
      <c r="K235" s="1074">
        <v>0</v>
      </c>
      <c r="L235" s="1074">
        <v>6.1</v>
      </c>
      <c r="M235" s="1074">
        <v>0</v>
      </c>
      <c r="N235" s="1075" t="s">
        <v>283</v>
      </c>
      <c r="O235" s="1074">
        <v>0</v>
      </c>
      <c r="P235" s="1074">
        <v>3.04</v>
      </c>
      <c r="Q235" s="1074">
        <v>0</v>
      </c>
      <c r="R235" s="1075" t="s">
        <v>283</v>
      </c>
      <c r="S235" s="1074">
        <v>0</v>
      </c>
      <c r="T235" s="1074">
        <v>1.29</v>
      </c>
      <c r="U235" s="1074">
        <v>0</v>
      </c>
      <c r="V235" s="1075" t="s">
        <v>283</v>
      </c>
      <c r="W235" s="1074">
        <v>0</v>
      </c>
      <c r="X235" s="1075">
        <v>0</v>
      </c>
      <c r="Y235" s="1074">
        <v>0</v>
      </c>
      <c r="Z235" s="1075" t="s">
        <v>283</v>
      </c>
      <c r="AB235" s="896"/>
      <c r="AC235" s="896"/>
      <c r="AD235" s="1061"/>
      <c r="AE235" s="1061"/>
      <c r="AF235" s="1061"/>
      <c r="AG235" s="1061"/>
      <c r="AH235" s="1061"/>
      <c r="AI235" s="1061"/>
      <c r="AJ235" s="1061"/>
      <c r="AK235" s="1061"/>
      <c r="AL235" s="1061"/>
      <c r="AM235" s="1061"/>
      <c r="AN235" s="1061"/>
      <c r="AO235" s="1061"/>
      <c r="AP235" s="1061"/>
      <c r="AQ235" s="1061"/>
      <c r="AR235" s="1061"/>
      <c r="AS235" s="1061"/>
      <c r="AT235" s="1061"/>
      <c r="AU235" s="1061"/>
      <c r="AV235" s="1061"/>
      <c r="AW235" s="1061"/>
      <c r="AX235" s="1061"/>
    </row>
    <row r="236" spans="1:50">
      <c r="A236">
        <v>2</v>
      </c>
      <c r="B236" s="1073">
        <v>9.0747958425229243</v>
      </c>
      <c r="C236" s="1073">
        <v>4.5870922042189397</v>
      </c>
      <c r="D236" s="1073">
        <v>10.338111953258133</v>
      </c>
      <c r="E236" s="1073">
        <v>0</v>
      </c>
      <c r="F236" s="1073">
        <v>0.55788039859392347</v>
      </c>
      <c r="G236" s="1074">
        <v>0.2112</v>
      </c>
      <c r="H236" s="1074">
        <v>8.3000000000000007</v>
      </c>
      <c r="I236" s="1074">
        <v>0</v>
      </c>
      <c r="J236" s="1075" t="s">
        <v>283</v>
      </c>
      <c r="K236" s="1074">
        <v>0.21229999999999999</v>
      </c>
      <c r="L236" s="1074">
        <v>6.08</v>
      </c>
      <c r="M236" s="1074">
        <v>0</v>
      </c>
      <c r="N236" s="1075" t="s">
        <v>283</v>
      </c>
      <c r="O236" s="1074">
        <v>0.1176</v>
      </c>
      <c r="P236" s="1074">
        <v>2.77</v>
      </c>
      <c r="Q236" s="1074">
        <v>0</v>
      </c>
      <c r="R236" s="1075" t="s">
        <v>283</v>
      </c>
      <c r="S236" s="1074">
        <v>0.1176</v>
      </c>
      <c r="T236" s="1075">
        <v>0.71</v>
      </c>
      <c r="U236" s="1074">
        <v>0</v>
      </c>
      <c r="V236" s="1075" t="s">
        <v>283</v>
      </c>
      <c r="W236" s="1074">
        <v>0.1227</v>
      </c>
      <c r="X236" s="1074">
        <v>2.31</v>
      </c>
      <c r="Y236" s="1074">
        <v>0</v>
      </c>
      <c r="Z236" s="1075" t="s">
        <v>283</v>
      </c>
      <c r="AB236" s="896"/>
      <c r="AC236" s="896"/>
      <c r="AD236" s="1061"/>
      <c r="AE236" s="1061"/>
      <c r="AF236" s="1061"/>
      <c r="AG236" s="1061"/>
      <c r="AH236" s="1061"/>
      <c r="AI236" s="1061"/>
      <c r="AJ236" s="1061"/>
      <c r="AK236" s="1061"/>
      <c r="AL236" s="1061"/>
      <c r="AM236" s="1061"/>
      <c r="AN236" s="1061"/>
      <c r="AO236" s="1061"/>
      <c r="AP236" s="1061"/>
      <c r="AQ236" s="1061"/>
      <c r="AR236" s="1061"/>
      <c r="AS236" s="1061"/>
      <c r="AT236" s="1061"/>
      <c r="AU236" s="1061"/>
      <c r="AV236" s="1061"/>
      <c r="AW236" s="1061"/>
      <c r="AX236" s="1061"/>
    </row>
    <row r="237" spans="1:50">
      <c r="A237">
        <v>3</v>
      </c>
      <c r="B237" s="1073">
        <v>5.9658699055988205</v>
      </c>
      <c r="C237" s="1073">
        <v>0.42823091287239518</v>
      </c>
      <c r="D237" s="1073">
        <v>17.60589918152878</v>
      </c>
      <c r="E237" s="1073">
        <v>0</v>
      </c>
      <c r="F237" s="1073">
        <v>0.24819996413906853</v>
      </c>
      <c r="G237" s="1074">
        <v>8.9099999999999999E-2</v>
      </c>
      <c r="H237" s="1074">
        <v>11.23</v>
      </c>
      <c r="I237" s="1074">
        <v>9.7799999999999994</v>
      </c>
      <c r="J237" s="1075">
        <v>4.75</v>
      </c>
      <c r="K237" s="1074">
        <v>8.9099999999999999E-2</v>
      </c>
      <c r="L237" s="1074">
        <v>3.88</v>
      </c>
      <c r="M237" s="1074">
        <v>7.44</v>
      </c>
      <c r="N237" s="1074">
        <v>11.9</v>
      </c>
      <c r="O237" s="1074">
        <v>3.0800000000000001E-2</v>
      </c>
      <c r="P237" s="1074">
        <v>0.56999999999999995</v>
      </c>
      <c r="Q237" s="1074">
        <v>3.66</v>
      </c>
      <c r="R237" s="1074">
        <v>0.69</v>
      </c>
      <c r="S237" s="1074">
        <v>0</v>
      </c>
      <c r="T237" s="1075">
        <v>0</v>
      </c>
      <c r="U237" s="1074">
        <v>0</v>
      </c>
      <c r="V237" s="1075" t="s">
        <v>283</v>
      </c>
      <c r="W237" s="1074">
        <v>4.8099999999999997E-2</v>
      </c>
      <c r="X237" s="1074">
        <v>1.05</v>
      </c>
      <c r="Y237" s="1074">
        <v>0</v>
      </c>
      <c r="Z237" s="1075" t="s">
        <v>283</v>
      </c>
      <c r="AB237" s="896"/>
      <c r="AC237" s="896"/>
      <c r="AD237" s="1061"/>
      <c r="AE237" s="1061"/>
      <c r="AF237" s="1061"/>
      <c r="AG237" s="1061"/>
      <c r="AH237" s="1061"/>
      <c r="AI237" s="1061"/>
      <c r="AJ237" s="1061"/>
      <c r="AK237" s="1061"/>
      <c r="AL237" s="1061"/>
      <c r="AM237" s="1061"/>
      <c r="AN237" s="1061"/>
      <c r="AO237" s="1061"/>
      <c r="AP237" s="1061"/>
      <c r="AQ237" s="1061"/>
      <c r="AR237" s="1061"/>
      <c r="AS237" s="1061"/>
      <c r="AT237" s="1061"/>
      <c r="AU237" s="1061"/>
      <c r="AV237" s="1061"/>
      <c r="AW237" s="1061"/>
      <c r="AX237" s="1061"/>
    </row>
    <row r="238" spans="1:50">
      <c r="A238">
        <v>4</v>
      </c>
      <c r="B238" s="1073">
        <v>16.335040767152996</v>
      </c>
      <c r="C238" s="1073">
        <v>0.89967812827865234</v>
      </c>
      <c r="D238" s="1073">
        <v>6.7652811045683503</v>
      </c>
      <c r="E238" s="1073">
        <v>0</v>
      </c>
      <c r="F238" s="1073">
        <v>0.47596663419067659</v>
      </c>
      <c r="G238" s="1074">
        <v>0.2341</v>
      </c>
      <c r="H238" s="1074">
        <v>33.93</v>
      </c>
      <c r="I238" s="1076">
        <v>9.32</v>
      </c>
      <c r="J238" s="1075">
        <v>36.119999999999997</v>
      </c>
      <c r="K238" s="1074">
        <v>0.2341</v>
      </c>
      <c r="L238" s="1074">
        <v>6.79</v>
      </c>
      <c r="M238" s="1074">
        <v>9.6</v>
      </c>
      <c r="N238" s="1074">
        <v>9.0399999999999991</v>
      </c>
      <c r="O238" s="1074">
        <v>8.9200000000000002E-2</v>
      </c>
      <c r="P238" s="1074">
        <v>2.87</v>
      </c>
      <c r="Q238" s="1074">
        <v>4.2300000000000004</v>
      </c>
      <c r="R238" s="1074">
        <v>3.25</v>
      </c>
      <c r="S238" s="1074">
        <v>0</v>
      </c>
      <c r="T238" s="1075">
        <v>0</v>
      </c>
      <c r="U238" s="1074">
        <v>0</v>
      </c>
      <c r="V238" s="1075" t="s">
        <v>283</v>
      </c>
      <c r="W238" s="1074">
        <v>0.193</v>
      </c>
      <c r="X238" s="1074">
        <v>3.09</v>
      </c>
      <c r="Y238" s="1074">
        <v>0</v>
      </c>
      <c r="Z238" s="1075" t="s">
        <v>283</v>
      </c>
      <c r="AB238" s="896"/>
      <c r="AC238" s="896"/>
      <c r="AD238" s="1061"/>
      <c r="AE238" s="1061"/>
      <c r="AF238" s="1061"/>
      <c r="AG238" s="1061"/>
      <c r="AH238" s="1061"/>
      <c r="AI238" s="1061"/>
      <c r="AJ238" s="1061"/>
      <c r="AK238" s="1061"/>
      <c r="AL238" s="1061"/>
      <c r="AM238" s="1061"/>
      <c r="AN238" s="1061"/>
      <c r="AO238" s="1061"/>
      <c r="AP238" s="1061"/>
      <c r="AQ238" s="1061"/>
      <c r="AR238" s="1061"/>
      <c r="AS238" s="1061"/>
      <c r="AT238" s="1061"/>
      <c r="AU238" s="1061"/>
      <c r="AV238" s="1061"/>
      <c r="AW238" s="1061"/>
      <c r="AX238" s="1061"/>
    </row>
    <row r="239" spans="1:50">
      <c r="A239">
        <v>5</v>
      </c>
      <c r="B239" s="1073">
        <v>5.8908285067425732</v>
      </c>
      <c r="C239" s="1073">
        <v>0.30427199991207726</v>
      </c>
      <c r="D239" s="1073">
        <v>17.804899493345349</v>
      </c>
      <c r="E239" s="1073">
        <v>0</v>
      </c>
      <c r="F239" s="1073">
        <v>0.62848272083124657</v>
      </c>
      <c r="G239" s="1074">
        <v>7.1900000000000006E-2</v>
      </c>
      <c r="H239" s="1075">
        <v>24.85</v>
      </c>
      <c r="I239" s="1076">
        <v>438.81</v>
      </c>
      <c r="J239" s="1075">
        <v>56.41</v>
      </c>
      <c r="K239" s="1074">
        <v>6.0199999999999997E-2</v>
      </c>
      <c r="L239" s="1075">
        <v>10.210000000000001</v>
      </c>
      <c r="M239" s="1074">
        <v>360.37</v>
      </c>
      <c r="N239" s="1075">
        <v>31.91</v>
      </c>
      <c r="O239" s="1074">
        <v>2.1899999999999999E-2</v>
      </c>
      <c r="P239" s="1075">
        <v>12.28</v>
      </c>
      <c r="Q239" s="1074">
        <v>355.18</v>
      </c>
      <c r="R239" s="1075">
        <v>20.059999999999999</v>
      </c>
      <c r="S239" s="1074">
        <v>0</v>
      </c>
      <c r="T239" s="1075">
        <v>0</v>
      </c>
      <c r="U239" s="1074">
        <v>0</v>
      </c>
      <c r="V239" s="1075" t="s">
        <v>283</v>
      </c>
      <c r="W239" s="1074">
        <v>0</v>
      </c>
      <c r="X239" s="1075">
        <v>0</v>
      </c>
      <c r="Y239" s="1074">
        <v>0</v>
      </c>
      <c r="Z239" s="1075" t="s">
        <v>283</v>
      </c>
      <c r="AB239" s="896"/>
      <c r="AC239" s="896"/>
      <c r="AD239" s="1061"/>
      <c r="AE239" s="1061"/>
      <c r="AF239" s="1061"/>
      <c r="AG239" s="1061"/>
      <c r="AH239" s="1061"/>
      <c r="AI239" s="1061"/>
      <c r="AJ239" s="1061"/>
      <c r="AK239" s="1061"/>
      <c r="AL239" s="1061"/>
      <c r="AM239" s="1061"/>
      <c r="AN239" s="1061"/>
      <c r="AO239" s="1061"/>
      <c r="AP239" s="1061"/>
      <c r="AQ239" s="1061"/>
      <c r="AR239" s="1061"/>
      <c r="AS239" s="1061"/>
      <c r="AT239" s="1061"/>
      <c r="AU239" s="1061"/>
      <c r="AV239" s="1061"/>
      <c r="AW239" s="1061"/>
      <c r="AX239" s="1061"/>
    </row>
    <row r="240" spans="1:50">
      <c r="A240">
        <v>6</v>
      </c>
      <c r="B240" s="1073">
        <v>15.425324961910922</v>
      </c>
      <c r="C240" s="1073">
        <v>8.5746750380890777</v>
      </c>
      <c r="D240" s="1073">
        <v>0</v>
      </c>
      <c r="E240" s="1073">
        <v>0</v>
      </c>
      <c r="F240" s="1073">
        <v>0.45950030418770244</v>
      </c>
      <c r="G240" s="1074">
        <v>0.1903</v>
      </c>
      <c r="H240" s="1075">
        <v>44.49</v>
      </c>
      <c r="I240" s="1076">
        <v>246.32</v>
      </c>
      <c r="J240" s="1075">
        <v>91.36</v>
      </c>
      <c r="K240" s="1074">
        <v>0.1578</v>
      </c>
      <c r="L240" s="1075">
        <v>18.61</v>
      </c>
      <c r="M240" s="1074">
        <v>210.54</v>
      </c>
      <c r="N240" s="1075">
        <v>51.83</v>
      </c>
      <c r="O240" s="1074">
        <v>8.8499999999999995E-2</v>
      </c>
      <c r="P240" s="1075">
        <v>2.93</v>
      </c>
      <c r="Q240" s="1074">
        <v>310.13</v>
      </c>
      <c r="R240" s="1075">
        <v>30.37</v>
      </c>
      <c r="S240" s="1074">
        <v>0</v>
      </c>
      <c r="T240" s="1075">
        <v>0</v>
      </c>
      <c r="U240" s="1074">
        <v>0</v>
      </c>
      <c r="V240" s="1075" t="s">
        <v>283</v>
      </c>
      <c r="W240" s="1074">
        <v>0</v>
      </c>
      <c r="X240" s="1075">
        <v>0</v>
      </c>
      <c r="Y240" s="1074">
        <v>0</v>
      </c>
      <c r="Z240" s="1075" t="s">
        <v>283</v>
      </c>
      <c r="AB240" s="896"/>
      <c r="AC240" s="896"/>
      <c r="AD240" s="1061"/>
      <c r="AE240" s="1061"/>
      <c r="AF240" s="1061"/>
      <c r="AG240" s="1061"/>
      <c r="AH240" s="1061"/>
      <c r="AI240" s="1061"/>
      <c r="AJ240" s="1061"/>
      <c r="AK240" s="1061"/>
      <c r="AL240" s="1061"/>
      <c r="AM240" s="1061"/>
      <c r="AN240" s="1061"/>
      <c r="AO240" s="1061"/>
      <c r="AP240" s="1061"/>
      <c r="AQ240" s="1061"/>
      <c r="AR240" s="1061"/>
      <c r="AS240" s="1061"/>
      <c r="AT240" s="1061"/>
      <c r="AU240" s="1061"/>
      <c r="AV240" s="1061"/>
      <c r="AW240" s="1061"/>
      <c r="AX240" s="1061"/>
    </row>
    <row r="241" spans="1:50">
      <c r="A241">
        <v>7</v>
      </c>
      <c r="B241" s="1073">
        <v>8.1368360000000006</v>
      </c>
      <c r="C241" s="1073">
        <v>7.2982320000000005</v>
      </c>
      <c r="D241" s="1073">
        <v>8.5649319999999989</v>
      </c>
      <c r="E241" s="1073">
        <v>0</v>
      </c>
      <c r="F241" s="1073">
        <v>0.32356399999999996</v>
      </c>
      <c r="G241" s="1074">
        <v>7.9200000000000007E-2</v>
      </c>
      <c r="H241" s="1075">
        <v>-40.97</v>
      </c>
      <c r="I241" s="1076">
        <v>0</v>
      </c>
      <c r="J241" s="1075" t="s">
        <v>283</v>
      </c>
      <c r="K241" s="1074">
        <v>6.1600000000000002E-2</v>
      </c>
      <c r="L241" s="1075">
        <v>-37.68</v>
      </c>
      <c r="M241" s="1074">
        <v>0</v>
      </c>
      <c r="N241" s="1075" t="s">
        <v>283</v>
      </c>
      <c r="O241" s="1074">
        <v>0</v>
      </c>
      <c r="P241" s="1075">
        <v>0</v>
      </c>
      <c r="Q241" s="1074">
        <v>0</v>
      </c>
      <c r="R241" s="1075" t="s">
        <v>283</v>
      </c>
      <c r="S241" s="1074">
        <v>0</v>
      </c>
      <c r="T241" s="1075">
        <v>0</v>
      </c>
      <c r="U241" s="1074">
        <v>0</v>
      </c>
      <c r="V241" s="1075" t="s">
        <v>283</v>
      </c>
      <c r="W241" s="1074">
        <v>0</v>
      </c>
      <c r="X241" s="1075">
        <v>0</v>
      </c>
      <c r="Y241" s="1074">
        <v>0</v>
      </c>
      <c r="Z241" s="1075" t="s">
        <v>283</v>
      </c>
      <c r="AB241" s="896"/>
      <c r="AC241" s="896"/>
      <c r="AD241" s="1061"/>
      <c r="AE241" s="1061"/>
      <c r="AF241" s="1061"/>
      <c r="AG241" s="1061"/>
      <c r="AH241" s="1061"/>
      <c r="AI241" s="1061"/>
      <c r="AJ241" s="1061"/>
      <c r="AK241" s="1061"/>
      <c r="AL241" s="1061"/>
      <c r="AM241" s="1061"/>
      <c r="AN241" s="1061"/>
      <c r="AO241" s="1061"/>
      <c r="AP241" s="1061"/>
      <c r="AQ241" s="1061"/>
      <c r="AR241" s="1061"/>
      <c r="AS241" s="1061"/>
      <c r="AT241" s="1061"/>
      <c r="AU241" s="1061"/>
      <c r="AV241" s="1061"/>
      <c r="AW241" s="1061"/>
      <c r="AX241" s="1061"/>
    </row>
    <row r="242" spans="1:50">
      <c r="A242">
        <v>8</v>
      </c>
      <c r="B242" s="1073">
        <v>6.5698271089827323</v>
      </c>
      <c r="C242" s="1073">
        <v>7.1721182497201887</v>
      </c>
      <c r="D242" s="1073">
        <v>10.257843920540139</v>
      </c>
      <c r="E242" s="1073">
        <v>0</v>
      </c>
      <c r="F242" s="1073">
        <v>0.55577705110841291</v>
      </c>
      <c r="G242" s="1074">
        <v>0</v>
      </c>
      <c r="H242" s="1074">
        <v>1</v>
      </c>
      <c r="I242" s="1076">
        <v>0</v>
      </c>
      <c r="J242" s="1075" t="s">
        <v>283</v>
      </c>
      <c r="K242" s="1074">
        <v>0</v>
      </c>
      <c r="L242" s="1074">
        <v>0.74</v>
      </c>
      <c r="M242" s="1074">
        <v>0</v>
      </c>
      <c r="N242" s="1075" t="s">
        <v>283</v>
      </c>
      <c r="O242" s="1074">
        <v>0</v>
      </c>
      <c r="P242" s="1074">
        <v>0.26</v>
      </c>
      <c r="Q242" s="1074">
        <v>0</v>
      </c>
      <c r="R242" s="1075" t="s">
        <v>283</v>
      </c>
      <c r="S242" s="1074">
        <v>0</v>
      </c>
      <c r="T242" s="1075">
        <v>0</v>
      </c>
      <c r="U242" s="1074">
        <v>0</v>
      </c>
      <c r="V242" s="1075" t="s">
        <v>283</v>
      </c>
      <c r="W242" s="1074">
        <v>0</v>
      </c>
      <c r="X242" s="1075">
        <v>0</v>
      </c>
      <c r="Y242" s="1074">
        <v>0</v>
      </c>
      <c r="Z242" s="1075" t="s">
        <v>283</v>
      </c>
      <c r="AB242" s="896"/>
      <c r="AC242" s="896"/>
      <c r="AD242" s="1061"/>
      <c r="AE242" s="1061"/>
      <c r="AF242" s="1061"/>
      <c r="AG242" s="1061"/>
      <c r="AH242" s="1061"/>
      <c r="AI242" s="1061"/>
      <c r="AJ242" s="1061"/>
      <c r="AK242" s="1061"/>
      <c r="AL242" s="1061"/>
      <c r="AM242" s="1061"/>
      <c r="AN242" s="1061"/>
      <c r="AO242" s="1061"/>
      <c r="AP242" s="1061"/>
      <c r="AQ242" s="1061"/>
      <c r="AR242" s="1061"/>
      <c r="AS242" s="1061"/>
      <c r="AT242" s="1061"/>
      <c r="AU242" s="1061"/>
      <c r="AV242" s="1061"/>
      <c r="AW242" s="1061"/>
      <c r="AX242" s="1061"/>
    </row>
    <row r="243" spans="1:50">
      <c r="A243">
        <v>9</v>
      </c>
      <c r="B243" s="1073">
        <v>1.0586700748083202</v>
      </c>
      <c r="C243" s="1073">
        <v>2.6087183107301131E-5</v>
      </c>
      <c r="D243" s="1073">
        <v>22.941303838008572</v>
      </c>
      <c r="E243" s="1073">
        <v>0</v>
      </c>
      <c r="F243" s="1073">
        <v>0.14221614350079198</v>
      </c>
      <c r="G243" s="1074">
        <v>0</v>
      </c>
      <c r="H243" s="1074">
        <v>0.79</v>
      </c>
      <c r="I243" s="1076">
        <v>0</v>
      </c>
      <c r="J243" s="1075" t="s">
        <v>283</v>
      </c>
      <c r="K243" s="1074">
        <v>0</v>
      </c>
      <c r="L243" s="1074">
        <v>0.26</v>
      </c>
      <c r="M243" s="1074">
        <v>0</v>
      </c>
      <c r="N243" s="1075" t="s">
        <v>283</v>
      </c>
      <c r="O243" s="1074">
        <v>0</v>
      </c>
      <c r="P243" s="1074">
        <v>0.13</v>
      </c>
      <c r="Q243" s="1074">
        <v>0</v>
      </c>
      <c r="R243" s="1075" t="s">
        <v>283</v>
      </c>
      <c r="S243" s="1074">
        <v>0</v>
      </c>
      <c r="T243" s="1075">
        <v>0</v>
      </c>
      <c r="U243" s="1074">
        <v>0</v>
      </c>
      <c r="V243" s="1075" t="s">
        <v>283</v>
      </c>
      <c r="W243" s="1074">
        <v>0</v>
      </c>
      <c r="X243" s="1075">
        <v>0</v>
      </c>
      <c r="Y243" s="1074">
        <v>0</v>
      </c>
      <c r="Z243" s="1075" t="s">
        <v>283</v>
      </c>
      <c r="AB243" s="896"/>
      <c r="AC243" s="896"/>
      <c r="AD243" s="1061"/>
      <c r="AE243" s="1061"/>
      <c r="AF243" s="1061"/>
      <c r="AG243" s="1061"/>
      <c r="AH243" s="1061"/>
      <c r="AI243" s="1061"/>
      <c r="AJ243" s="1061"/>
      <c r="AK243" s="1061"/>
      <c r="AL243" s="1061"/>
      <c r="AM243" s="1061"/>
      <c r="AN243" s="1061"/>
      <c r="AO243" s="1061"/>
      <c r="AP243" s="1061"/>
      <c r="AQ243" s="1061"/>
      <c r="AR243" s="1061"/>
      <c r="AS243" s="1061"/>
      <c r="AT243" s="1061"/>
      <c r="AU243" s="1061"/>
      <c r="AV243" s="1061"/>
      <c r="AW243" s="1061"/>
      <c r="AX243" s="1061"/>
    </row>
    <row r="244" spans="1:50">
      <c r="A244">
        <v>10</v>
      </c>
      <c r="B244" s="1073">
        <v>24</v>
      </c>
      <c r="C244" s="1073">
        <v>0</v>
      </c>
      <c r="D244" s="1073">
        <v>0</v>
      </c>
      <c r="E244" s="1073">
        <v>0</v>
      </c>
      <c r="F244" s="1073">
        <v>0</v>
      </c>
      <c r="G244" s="1074">
        <v>0</v>
      </c>
      <c r="H244" s="1075">
        <v>19.27</v>
      </c>
      <c r="I244" s="1076">
        <v>0</v>
      </c>
      <c r="J244" s="1075" t="s">
        <v>283</v>
      </c>
      <c r="K244" s="1074">
        <v>0</v>
      </c>
      <c r="L244" s="1075">
        <v>6.13</v>
      </c>
      <c r="M244" s="1074">
        <v>0</v>
      </c>
      <c r="N244" s="1075" t="s">
        <v>283</v>
      </c>
      <c r="O244" s="1074">
        <v>0</v>
      </c>
      <c r="P244" s="1075">
        <v>4.03</v>
      </c>
      <c r="Q244" s="1074">
        <v>0</v>
      </c>
      <c r="R244" s="1075" t="s">
        <v>283</v>
      </c>
      <c r="S244" s="1074">
        <v>0</v>
      </c>
      <c r="T244" s="1075">
        <v>1.49</v>
      </c>
      <c r="U244" s="1074">
        <v>0</v>
      </c>
      <c r="V244" s="1075" t="s">
        <v>283</v>
      </c>
      <c r="W244" s="1074">
        <v>0</v>
      </c>
      <c r="X244" s="1075">
        <v>0</v>
      </c>
      <c r="Y244" s="1074">
        <v>0</v>
      </c>
      <c r="Z244" s="1075" t="s">
        <v>283</v>
      </c>
      <c r="AB244" s="896"/>
      <c r="AC244" s="896"/>
      <c r="AD244" s="1061"/>
      <c r="AE244" s="1061"/>
      <c r="AF244" s="1061"/>
      <c r="AG244" s="1061"/>
      <c r="AH244" s="1061"/>
      <c r="AI244" s="1061"/>
      <c r="AJ244" s="1061"/>
      <c r="AK244" s="1061"/>
      <c r="AL244" s="1061"/>
      <c r="AM244" s="1061"/>
      <c r="AN244" s="1061"/>
      <c r="AO244" s="1061"/>
      <c r="AP244" s="1061"/>
      <c r="AQ244" s="1061"/>
      <c r="AR244" s="1061"/>
      <c r="AS244" s="1061"/>
      <c r="AT244" s="1061"/>
      <c r="AU244" s="1061"/>
      <c r="AV244" s="1061"/>
      <c r="AW244" s="1061"/>
      <c r="AX244" s="1061"/>
    </row>
    <row r="245" spans="1:50">
      <c r="AB245" s="896"/>
      <c r="AC245" s="896"/>
      <c r="AD245" s="1061"/>
      <c r="AE245" s="1061"/>
      <c r="AF245" s="1061"/>
      <c r="AG245" s="1061"/>
      <c r="AH245" s="1061"/>
      <c r="AI245" s="1061"/>
      <c r="AJ245" s="1061"/>
      <c r="AK245" s="1061"/>
      <c r="AL245" s="1061"/>
      <c r="AM245" s="1061"/>
      <c r="AN245" s="1061"/>
      <c r="AO245" s="1061"/>
      <c r="AP245" s="1061"/>
      <c r="AQ245" s="1061"/>
      <c r="AR245" s="1061"/>
      <c r="AS245" s="1061"/>
      <c r="AT245" s="1061"/>
      <c r="AU245" s="1061"/>
      <c r="AV245" s="1061"/>
      <c r="AW245" s="1061"/>
      <c r="AX245" s="1061"/>
    </row>
    <row r="246" spans="1:50" ht="15">
      <c r="A246" s="896"/>
      <c r="B246" s="1077"/>
      <c r="C246" s="1078"/>
      <c r="D246" s="1061"/>
      <c r="E246" s="896"/>
      <c r="F246" s="1025"/>
      <c r="G246" s="1025"/>
      <c r="H246" s="1025"/>
      <c r="I246" s="1025"/>
      <c r="J246" s="1028"/>
      <c r="K246" s="1028"/>
      <c r="L246" s="1028"/>
      <c r="M246" s="1028"/>
      <c r="N246" s="1028"/>
      <c r="O246" s="899"/>
      <c r="P246" s="896"/>
      <c r="Q246" s="896"/>
      <c r="R246" s="896"/>
      <c r="S246" s="896"/>
      <c r="T246" s="896"/>
      <c r="U246" s="896"/>
      <c r="V246" s="896"/>
      <c r="W246" s="896"/>
      <c r="X246" s="896"/>
      <c r="Y246" s="896"/>
      <c r="Z246" s="896"/>
      <c r="AA246" s="896"/>
      <c r="AB246" s="896"/>
      <c r="AC246" s="896"/>
      <c r="AD246" s="1061"/>
      <c r="AE246" s="1061"/>
      <c r="AF246" s="1061"/>
      <c r="AG246" s="1061"/>
      <c r="AH246" s="1061"/>
      <c r="AI246" s="1061"/>
      <c r="AJ246" s="1061"/>
      <c r="AK246" s="1061"/>
      <c r="AL246" s="1061"/>
      <c r="AM246" s="1061"/>
      <c r="AN246" s="1061"/>
      <c r="AO246" s="1061"/>
      <c r="AP246" s="1061"/>
      <c r="AQ246" s="1061"/>
      <c r="AR246" s="1061"/>
      <c r="AS246" s="1061"/>
      <c r="AT246" s="1061"/>
      <c r="AU246" s="1061"/>
      <c r="AV246" s="1061"/>
      <c r="AW246" s="1061"/>
      <c r="AX246" s="1061"/>
    </row>
  </sheetData>
  <mergeCells count="14">
    <mergeCell ref="AP3:AT3"/>
    <mergeCell ref="S4:W4"/>
    <mergeCell ref="X4:AB4"/>
    <mergeCell ref="B233:F233"/>
    <mergeCell ref="G233:H233"/>
    <mergeCell ref="I233:J233"/>
    <mergeCell ref="K233:L233"/>
    <mergeCell ref="M233:N233"/>
    <mergeCell ref="O233:P233"/>
    <mergeCell ref="Q233:R233"/>
    <mergeCell ref="S233:T233"/>
    <mergeCell ref="U233:V233"/>
    <mergeCell ref="W233:X233"/>
    <mergeCell ref="Y233:Z233"/>
  </mergeCells>
  <conditionalFormatting sqref="R6:R229">
    <cfRule type="expression" dxfId="1" priority="2">
      <formula>"($DB4-($DF4*24))&lt;0"</formula>
    </cfRule>
  </conditionalFormatting>
  <conditionalFormatting sqref="R6:R229">
    <cfRule type="expression" dxfId="0" priority="1">
      <formula>"cu4&gt;24"</formula>
    </cfRule>
  </conditionalFormatting>
  <dataValidations count="2">
    <dataValidation type="list" allowBlank="1" showInputMessage="1" showErrorMessage="1" sqref="F6:G230">
      <formula1>ProdClassesbc</formula1>
    </dataValidation>
    <dataValidation type="list" allowBlank="1" showInputMessage="1" showErrorMessage="1" sqref="AF6:AF85">
      <formula1>$AD$90:$AD$162</formula1>
    </dataValidation>
  </dataValidation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sheetPr>
    <pageSetUpPr fitToPage="1"/>
  </sheetPr>
  <dimension ref="A1:AQ98"/>
  <sheetViews>
    <sheetView zoomScale="70" zoomScaleNormal="70" workbookViewId="0">
      <pane xSplit="1" ySplit="1" topLeftCell="B2" activePane="bottomRight" state="frozen"/>
      <selection pane="topRight" activeCell="B1" sqref="B1"/>
      <selection pane="bottomLeft" activeCell="A2" sqref="A2"/>
      <selection pane="bottomRight" activeCell="X45" sqref="X45"/>
    </sheetView>
  </sheetViews>
  <sheetFormatPr defaultRowHeight="12.75"/>
  <cols>
    <col min="1" max="1" width="22" style="29" bestFit="1" customWidth="1"/>
    <col min="2" max="4" width="22" style="29" customWidth="1"/>
    <col min="5" max="10" width="22" style="36" customWidth="1"/>
    <col min="11" max="11" width="22" style="641" customWidth="1"/>
    <col min="12" max="13" width="22" style="33" customWidth="1"/>
    <col min="14" max="18" width="9.28515625" style="30" customWidth="1"/>
    <col min="19" max="19" width="13.140625" style="35" customWidth="1"/>
    <col min="20" max="20" width="13.5703125" style="35" customWidth="1"/>
    <col min="21" max="21" width="13.42578125" style="35" customWidth="1"/>
    <col min="22" max="22" width="12.140625" style="35" customWidth="1"/>
    <col min="23" max="25" width="9.140625" style="35" customWidth="1"/>
    <col min="26" max="26" width="9.140625" style="136" customWidth="1"/>
    <col min="27" max="27" width="9.140625" style="35" customWidth="1"/>
    <col min="28" max="28" width="10" style="35" customWidth="1"/>
    <col min="29" max="29" width="9.140625" style="36"/>
    <col min="30" max="30" width="13.85546875" style="34" customWidth="1"/>
    <col min="31" max="31" width="47.85546875" style="36" customWidth="1"/>
    <col min="32" max="32" width="12.140625" style="642" bestFit="1" customWidth="1"/>
    <col min="33" max="33" width="6.7109375" style="642" bestFit="1" customWidth="1"/>
    <col min="34" max="16384" width="9.140625" style="29"/>
  </cols>
  <sheetData>
    <row r="1" spans="1:43" ht="39.75" thickTop="1" thickBot="1">
      <c r="A1" s="113" t="s">
        <v>419</v>
      </c>
      <c r="B1" s="96" t="s">
        <v>353</v>
      </c>
      <c r="C1" s="96" t="s">
        <v>354</v>
      </c>
      <c r="D1" s="96" t="s">
        <v>562</v>
      </c>
      <c r="E1" s="110" t="s">
        <v>355</v>
      </c>
      <c r="F1" s="96" t="s">
        <v>356</v>
      </c>
      <c r="G1" s="111" t="s">
        <v>563</v>
      </c>
      <c r="H1" s="110" t="s">
        <v>357</v>
      </c>
      <c r="I1" s="96" t="s">
        <v>358</v>
      </c>
      <c r="J1" s="111" t="s">
        <v>564</v>
      </c>
      <c r="K1" s="103" t="s">
        <v>359</v>
      </c>
      <c r="L1" s="97" t="s">
        <v>360</v>
      </c>
      <c r="M1" s="104" t="s">
        <v>565</v>
      </c>
      <c r="N1" s="114" t="s">
        <v>545</v>
      </c>
      <c r="O1" s="114" t="s">
        <v>566</v>
      </c>
      <c r="P1" s="114" t="s">
        <v>567</v>
      </c>
      <c r="Q1" s="114" t="s">
        <v>568</v>
      </c>
      <c r="R1" s="114" t="s">
        <v>569</v>
      </c>
      <c r="S1" s="124" t="s">
        <v>575</v>
      </c>
      <c r="T1" s="114" t="s">
        <v>576</v>
      </c>
      <c r="U1" s="114" t="s">
        <v>577</v>
      </c>
      <c r="V1" s="125" t="s">
        <v>578</v>
      </c>
      <c r="W1" s="114" t="s">
        <v>571</v>
      </c>
      <c r="X1" s="114" t="s">
        <v>572</v>
      </c>
      <c r="Y1" s="114" t="s">
        <v>573</v>
      </c>
      <c r="Z1" s="132" t="s">
        <v>574</v>
      </c>
      <c r="AA1" s="130" t="s">
        <v>570</v>
      </c>
      <c r="AB1" s="131" t="s">
        <v>579</v>
      </c>
      <c r="AC1" s="115" t="s">
        <v>101</v>
      </c>
      <c r="AD1" s="116" t="s">
        <v>421</v>
      </c>
      <c r="AE1" s="117" t="s">
        <v>100</v>
      </c>
      <c r="AF1" s="619" t="s">
        <v>422</v>
      </c>
      <c r="AG1" s="620" t="s">
        <v>423</v>
      </c>
      <c r="AH1" s="36"/>
      <c r="AP1" s="30"/>
      <c r="AQ1" s="31"/>
    </row>
    <row r="2" spans="1:43">
      <c r="A2" s="98" t="s">
        <v>424</v>
      </c>
      <c r="B2" s="414"/>
      <c r="C2" s="414"/>
      <c r="D2" s="414"/>
      <c r="E2" s="621">
        <v>462066080</v>
      </c>
      <c r="F2" s="414">
        <v>414647770</v>
      </c>
      <c r="G2" s="415">
        <v>37233187</v>
      </c>
      <c r="H2" s="621">
        <v>546274115</v>
      </c>
      <c r="I2" s="414">
        <v>488988455</v>
      </c>
      <c r="J2" s="415">
        <v>43213358</v>
      </c>
      <c r="K2" s="622"/>
      <c r="L2" s="68"/>
      <c r="M2" s="107"/>
      <c r="N2" s="419">
        <f>IF(K2="",((H2-I2)/H2),((K2-L2)/K2))</f>
        <v>0.10486614398707141</v>
      </c>
      <c r="O2" s="67" t="str">
        <f>IF(B2="","",B2/C2)</f>
        <v/>
      </c>
      <c r="P2" s="67">
        <f>IF(E2="","",(E2/F2))</f>
        <v>1.1143580490014453</v>
      </c>
      <c r="Q2" s="67">
        <f>IF(H2="","",(H2/I2))</f>
        <v>1.1171513548310665</v>
      </c>
      <c r="R2" s="67" t="str">
        <f>IF(K2="","",(K2/L2))</f>
        <v/>
      </c>
      <c r="S2" s="623" t="str">
        <f>IF(D2="","",B2-C2-D2)</f>
        <v/>
      </c>
      <c r="T2" s="122">
        <f>IF(G2="","",E2-F2-G2)</f>
        <v>10185123</v>
      </c>
      <c r="U2" s="122">
        <f>IF(J2="","",H2-I2-J2)</f>
        <v>14072302</v>
      </c>
      <c r="V2" s="126" t="str">
        <f>IF(M2="","",K2-L2-M2)</f>
        <v/>
      </c>
      <c r="W2" s="118" t="str">
        <f t="shared" ref="W2:W65" si="0">IF(S2="","",1+(S2/C2))</f>
        <v/>
      </c>
      <c r="X2" s="118">
        <f t="shared" ref="X2:X65" si="1">IF(T2="","",1+(T2/F2))</f>
        <v>1.0245633130982472</v>
      </c>
      <c r="Y2" s="118">
        <f t="shared" ref="Y2:Y65" si="2">IF(U2="","",1+(U2/I2))</f>
        <v>1.0287783931422267</v>
      </c>
      <c r="Z2" s="133" t="str">
        <f t="shared" ref="Z2:Z65" si="3">IF(V2="","",1+(V2/L2))</f>
        <v/>
      </c>
      <c r="AA2" s="624">
        <f t="shared" ref="AA2:AA65" si="4">AVERAGE(O2:R2)</f>
        <v>1.1157547019162559</v>
      </c>
      <c r="AB2" s="39">
        <f>AVERAGE(W2:Z2)</f>
        <v>1.0266708531202369</v>
      </c>
      <c r="AC2" s="314" t="s">
        <v>978</v>
      </c>
      <c r="AD2" s="625">
        <v>40185</v>
      </c>
      <c r="AE2" s="40" t="s">
        <v>979</v>
      </c>
      <c r="AF2" s="626" t="s">
        <v>425</v>
      </c>
      <c r="AG2" s="627" t="s">
        <v>426</v>
      </c>
      <c r="AH2" s="36"/>
      <c r="AP2" s="30"/>
      <c r="AQ2" s="32"/>
    </row>
    <row r="3" spans="1:43">
      <c r="A3" s="98" t="s">
        <v>427</v>
      </c>
      <c r="B3" s="416">
        <v>10711</v>
      </c>
      <c r="C3" s="416">
        <v>8255</v>
      </c>
      <c r="D3" s="416">
        <v>195</v>
      </c>
      <c r="E3" s="628">
        <v>14835</v>
      </c>
      <c r="F3" s="416">
        <v>11482</v>
      </c>
      <c r="G3" s="417">
        <v>235</v>
      </c>
      <c r="H3" s="628">
        <v>19166</v>
      </c>
      <c r="I3" s="416">
        <v>14896</v>
      </c>
      <c r="J3" s="417">
        <v>279</v>
      </c>
      <c r="K3" s="418"/>
      <c r="L3" s="66"/>
      <c r="M3" s="105"/>
      <c r="N3" s="419">
        <f>IF(K3="",((H3-I3)/H3),((K3-L3)/K3))</f>
        <v>0.22279035792549307</v>
      </c>
      <c r="O3" s="67">
        <f>IF(B3="","",B3/C3)</f>
        <v>1.2975166565717746</v>
      </c>
      <c r="P3" s="67">
        <f>IF(E3="","",(E3/F3))</f>
        <v>1.292022295767288</v>
      </c>
      <c r="Q3" s="67">
        <f>IF(H3="","",(H3/I3))</f>
        <v>1.2866541353383458</v>
      </c>
      <c r="R3" s="67" t="str">
        <f>IF(K3="","",(K3/L3))</f>
        <v/>
      </c>
      <c r="S3" s="623">
        <f t="shared" ref="S3:S66" si="5">IF(D3="","",B3-C3-D3)</f>
        <v>2261</v>
      </c>
      <c r="T3" s="122">
        <f t="shared" ref="T3:T66" si="6">IF(G3="","",E3-F3-G3)</f>
        <v>3118</v>
      </c>
      <c r="U3" s="122">
        <f t="shared" ref="U3:U66" si="7">IF(J3="","",H3-I3-J3)</f>
        <v>3991</v>
      </c>
      <c r="V3" s="126" t="str">
        <f t="shared" ref="V3:V66" si="8">IF(M3="","",K3-L3-M3)</f>
        <v/>
      </c>
      <c r="W3" s="118">
        <f t="shared" si="0"/>
        <v>1.2738946093276802</v>
      </c>
      <c r="X3" s="118">
        <f t="shared" si="1"/>
        <v>1.2715554781396969</v>
      </c>
      <c r="Y3" s="118">
        <f t="shared" si="2"/>
        <v>1.2679242749731472</v>
      </c>
      <c r="Z3" s="133" t="str">
        <f t="shared" si="3"/>
        <v/>
      </c>
      <c r="AA3" s="624">
        <f t="shared" si="4"/>
        <v>1.2920643625591361</v>
      </c>
      <c r="AB3" s="39">
        <f>AVERAGE(W3:Z3)</f>
        <v>1.2711247874801748</v>
      </c>
      <c r="AC3" s="314" t="s">
        <v>980</v>
      </c>
      <c r="AD3" s="625">
        <v>40185</v>
      </c>
      <c r="AE3" s="40" t="s">
        <v>981</v>
      </c>
      <c r="AF3" s="629" t="s">
        <v>426</v>
      </c>
      <c r="AG3" s="420" t="s">
        <v>425</v>
      </c>
      <c r="AH3" s="36"/>
      <c r="AP3" s="30"/>
      <c r="AQ3" s="32"/>
    </row>
    <row r="4" spans="1:43">
      <c r="A4" s="98" t="s">
        <v>428</v>
      </c>
      <c r="B4" s="416"/>
      <c r="C4" s="416"/>
      <c r="D4" s="416"/>
      <c r="E4" s="628">
        <v>24006</v>
      </c>
      <c r="F4" s="416">
        <v>15852</v>
      </c>
      <c r="G4" s="417">
        <v>2963</v>
      </c>
      <c r="H4" s="628">
        <v>32479</v>
      </c>
      <c r="I4" s="416">
        <v>21334</v>
      </c>
      <c r="J4" s="417">
        <v>3761</v>
      </c>
      <c r="K4" s="412">
        <v>36537</v>
      </c>
      <c r="L4" s="37">
        <v>23397</v>
      </c>
      <c r="M4" s="106">
        <v>4149</v>
      </c>
      <c r="N4" s="419">
        <f>IF(K4="",((H4-I4)/H4),((K4-L4)/K4))</f>
        <v>0.35963543804910092</v>
      </c>
      <c r="O4" s="67" t="str">
        <f>IF(B4="","",B4/C4)</f>
        <v/>
      </c>
      <c r="P4" s="67">
        <f>IF(E4="","",(E4/F4))</f>
        <v>1.5143830431491294</v>
      </c>
      <c r="Q4" s="67">
        <f>IF(H4="","",(H4/I4))</f>
        <v>1.5224055498265678</v>
      </c>
      <c r="R4" s="67">
        <f>IF(K4="","",(K4/L4))</f>
        <v>1.5616104628798564</v>
      </c>
      <c r="S4" s="623" t="str">
        <f t="shared" si="5"/>
        <v/>
      </c>
      <c r="T4" s="122">
        <f t="shared" si="6"/>
        <v>5191</v>
      </c>
      <c r="U4" s="122">
        <f t="shared" si="7"/>
        <v>7384</v>
      </c>
      <c r="V4" s="126">
        <f t="shared" si="8"/>
        <v>8991</v>
      </c>
      <c r="W4" s="118" t="str">
        <f t="shared" si="0"/>
        <v/>
      </c>
      <c r="X4" s="118">
        <f t="shared" si="1"/>
        <v>1.3274665657330305</v>
      </c>
      <c r="Y4" s="118">
        <f t="shared" si="2"/>
        <v>1.3461141839317521</v>
      </c>
      <c r="Z4" s="133">
        <f t="shared" si="3"/>
        <v>1.3842800359020386</v>
      </c>
      <c r="AA4" s="624">
        <f t="shared" si="4"/>
        <v>1.5327996852851846</v>
      </c>
      <c r="AB4" s="39">
        <f t="shared" ref="AB4:AB67" si="9">AVERAGE(W4:Z4)</f>
        <v>1.3526202618556071</v>
      </c>
      <c r="AC4" s="314" t="s">
        <v>982</v>
      </c>
      <c r="AD4" s="625">
        <v>40185</v>
      </c>
      <c r="AE4" s="40" t="s">
        <v>983</v>
      </c>
      <c r="AF4" s="626" t="s">
        <v>425</v>
      </c>
      <c r="AG4" s="420" t="s">
        <v>425</v>
      </c>
      <c r="AH4" s="36"/>
      <c r="AP4" s="30"/>
      <c r="AQ4" s="32"/>
    </row>
    <row r="5" spans="1:43">
      <c r="A5" s="98" t="s">
        <v>429</v>
      </c>
      <c r="B5" s="416">
        <v>63055</v>
      </c>
      <c r="C5" s="416">
        <v>28854</v>
      </c>
      <c r="D5" s="416">
        <v>14006</v>
      </c>
      <c r="E5" s="628">
        <v>118928</v>
      </c>
      <c r="F5" s="416">
        <v>46705</v>
      </c>
      <c r="G5" s="417">
        <v>30242</v>
      </c>
      <c r="H5" s="628">
        <v>124028</v>
      </c>
      <c r="I5" s="416">
        <v>49895</v>
      </c>
      <c r="J5" s="417">
        <v>31187</v>
      </c>
      <c r="K5" s="418"/>
      <c r="L5" s="66"/>
      <c r="M5" s="105"/>
      <c r="N5" s="419">
        <f t="shared" ref="N5:N49" si="10">IF(K5="",((H5-I5)/H5),((K5-L5)/K5))</f>
        <v>0.59771180701131998</v>
      </c>
      <c r="O5" s="67">
        <f t="shared" ref="O5:O68" si="11">IF(B5="","",B5/C5)</f>
        <v>2.1853122617314757</v>
      </c>
      <c r="P5" s="67">
        <f t="shared" ref="P5:P68" si="12">IF(E5="","",(E5/F5))</f>
        <v>2.5463654854940585</v>
      </c>
      <c r="Q5" s="67">
        <f t="shared" ref="Q5:Q68" si="13">IF(H5="","",(H5/I5))</f>
        <v>2.4857801382904099</v>
      </c>
      <c r="R5" s="67" t="str">
        <f t="shared" ref="R5:R68" si="14">IF(K5="","",(K5/L5))</f>
        <v/>
      </c>
      <c r="S5" s="623">
        <f t="shared" si="5"/>
        <v>20195</v>
      </c>
      <c r="T5" s="122">
        <f t="shared" si="6"/>
        <v>41981</v>
      </c>
      <c r="U5" s="122">
        <f t="shared" si="7"/>
        <v>42946</v>
      </c>
      <c r="V5" s="126" t="str">
        <f t="shared" si="8"/>
        <v/>
      </c>
      <c r="W5" s="118">
        <f t="shared" si="0"/>
        <v>1.6999029597282873</v>
      </c>
      <c r="X5" s="118">
        <f t="shared" si="1"/>
        <v>1.898854512364843</v>
      </c>
      <c r="Y5" s="118">
        <f t="shared" si="2"/>
        <v>1.8607275278083977</v>
      </c>
      <c r="Z5" s="133" t="str">
        <f t="shared" si="3"/>
        <v/>
      </c>
      <c r="AA5" s="624">
        <f t="shared" si="4"/>
        <v>2.4058192951719817</v>
      </c>
      <c r="AB5" s="39">
        <f t="shared" si="9"/>
        <v>1.8198283333005094</v>
      </c>
      <c r="AC5" s="314" t="s">
        <v>984</v>
      </c>
      <c r="AD5" s="625">
        <v>40186</v>
      </c>
      <c r="AE5" s="40" t="s">
        <v>985</v>
      </c>
      <c r="AF5" s="629" t="s">
        <v>426</v>
      </c>
      <c r="AG5" s="420" t="s">
        <v>426</v>
      </c>
      <c r="AH5" s="36"/>
      <c r="AP5" s="30"/>
      <c r="AQ5" s="32"/>
    </row>
    <row r="6" spans="1:43">
      <c r="A6" s="98" t="s">
        <v>457</v>
      </c>
      <c r="B6" s="416"/>
      <c r="C6" s="416"/>
      <c r="D6" s="416"/>
      <c r="E6" s="628">
        <v>6169.8040000000001</v>
      </c>
      <c r="F6" s="416">
        <v>3105.5540000000001</v>
      </c>
      <c r="G6" s="417">
        <v>2008.9839999999999</v>
      </c>
      <c r="H6" s="628">
        <v>6522.7060000000001</v>
      </c>
      <c r="I6" s="416">
        <v>3254.645</v>
      </c>
      <c r="J6" s="417">
        <v>2143.9270000000001</v>
      </c>
      <c r="K6" s="412">
        <v>6816.82</v>
      </c>
      <c r="L6" s="37">
        <v>3400.38</v>
      </c>
      <c r="M6" s="106">
        <v>2240.3870000000002</v>
      </c>
      <c r="N6" s="419">
        <f t="shared" si="10"/>
        <v>0.50117796861293096</v>
      </c>
      <c r="O6" s="67" t="str">
        <f t="shared" si="11"/>
        <v/>
      </c>
      <c r="P6" s="67">
        <f t="shared" si="12"/>
        <v>1.9866999575599071</v>
      </c>
      <c r="Q6" s="67">
        <f t="shared" si="13"/>
        <v>2.0041221085556185</v>
      </c>
      <c r="R6" s="67">
        <f t="shared" si="14"/>
        <v>2.004723001546886</v>
      </c>
      <c r="S6" s="623" t="str">
        <f t="shared" si="5"/>
        <v/>
      </c>
      <c r="T6" s="122">
        <f t="shared" si="6"/>
        <v>1055.2660000000001</v>
      </c>
      <c r="U6" s="122">
        <f t="shared" si="7"/>
        <v>1124.134</v>
      </c>
      <c r="V6" s="126">
        <f t="shared" si="8"/>
        <v>1176.0529999999994</v>
      </c>
      <c r="W6" s="118" t="str">
        <f t="shared" si="0"/>
        <v/>
      </c>
      <c r="X6" s="118">
        <f t="shared" si="1"/>
        <v>1.3397995977529291</v>
      </c>
      <c r="Y6" s="118">
        <f t="shared" si="2"/>
        <v>1.3453937372585951</v>
      </c>
      <c r="Z6" s="133">
        <f t="shared" si="3"/>
        <v>1.3458592863150587</v>
      </c>
      <c r="AA6" s="624">
        <f t="shared" si="4"/>
        <v>1.9985150225541373</v>
      </c>
      <c r="AB6" s="39">
        <f t="shared" si="9"/>
        <v>1.3436842071088611</v>
      </c>
      <c r="AC6" s="314" t="s">
        <v>986</v>
      </c>
      <c r="AD6" s="625">
        <v>40189</v>
      </c>
      <c r="AE6" s="40" t="s">
        <v>987</v>
      </c>
      <c r="AF6" s="629" t="s">
        <v>426</v>
      </c>
      <c r="AG6" s="420" t="s">
        <v>425</v>
      </c>
      <c r="AH6" s="36"/>
      <c r="AP6" s="30"/>
      <c r="AQ6" s="32"/>
    </row>
    <row r="7" spans="1:43">
      <c r="A7" s="99" t="s">
        <v>260</v>
      </c>
      <c r="B7" s="416"/>
      <c r="C7" s="416"/>
      <c r="D7" s="416"/>
      <c r="E7" s="628">
        <v>6617.4290000000001</v>
      </c>
      <c r="F7" s="416">
        <v>3782.027</v>
      </c>
      <c r="G7" s="417">
        <v>1946.001</v>
      </c>
      <c r="H7" s="628">
        <v>7048.942</v>
      </c>
      <c r="I7" s="416">
        <v>4123.7110000000002</v>
      </c>
      <c r="J7" s="417">
        <v>2087.2089999999998</v>
      </c>
      <c r="K7" s="412">
        <v>7208.34</v>
      </c>
      <c r="L7" s="37">
        <v>4335.1040000000003</v>
      </c>
      <c r="M7" s="106">
        <v>2199.34</v>
      </c>
      <c r="N7" s="419">
        <f>IF(K7="",((H7-I7)/H7),((K7-L7)/K7))</f>
        <v>0.39859884522650152</v>
      </c>
      <c r="O7" s="67" t="str">
        <f>IF(B7="","",B7/C7)</f>
        <v/>
      </c>
      <c r="P7" s="67">
        <f>IF(E7="","",(E7/F7))</f>
        <v>1.7497043252203117</v>
      </c>
      <c r="Q7" s="67">
        <f>IF(H7="","",(H7/I7))</f>
        <v>1.7093685760229074</v>
      </c>
      <c r="R7" s="67">
        <f>IF(K7="","",(K7/L7))</f>
        <v>1.6627836379473249</v>
      </c>
      <c r="S7" s="623" t="str">
        <f t="shared" si="5"/>
        <v/>
      </c>
      <c r="T7" s="122">
        <f t="shared" si="6"/>
        <v>889.40100000000007</v>
      </c>
      <c r="U7" s="122">
        <f t="shared" si="7"/>
        <v>838.02199999999993</v>
      </c>
      <c r="V7" s="126">
        <f t="shared" si="8"/>
        <v>673.89599999999973</v>
      </c>
      <c r="W7" s="118" t="str">
        <f t="shared" si="0"/>
        <v/>
      </c>
      <c r="X7" s="118">
        <f t="shared" si="1"/>
        <v>1.2351651640773584</v>
      </c>
      <c r="Y7" s="118">
        <f t="shared" si="2"/>
        <v>1.203220351765679</v>
      </c>
      <c r="Z7" s="133">
        <f t="shared" si="3"/>
        <v>1.1554509418920513</v>
      </c>
      <c r="AA7" s="624">
        <f t="shared" si="4"/>
        <v>1.7072855130635147</v>
      </c>
      <c r="AB7" s="39">
        <f>AVERAGE(W7:Z7)</f>
        <v>1.1979454859116963</v>
      </c>
      <c r="AC7" s="314" t="s">
        <v>659</v>
      </c>
      <c r="AD7" s="625">
        <v>40262</v>
      </c>
      <c r="AE7" s="69" t="s">
        <v>261</v>
      </c>
      <c r="AF7" s="629" t="s">
        <v>426</v>
      </c>
      <c r="AG7" s="420" t="s">
        <v>425</v>
      </c>
      <c r="AH7" s="36"/>
      <c r="AP7" s="30"/>
      <c r="AQ7" s="32"/>
    </row>
    <row r="8" spans="1:43">
      <c r="A8" s="98" t="s">
        <v>458</v>
      </c>
      <c r="B8" s="416"/>
      <c r="C8" s="416"/>
      <c r="D8" s="416"/>
      <c r="E8" s="628">
        <v>35934</v>
      </c>
      <c r="F8" s="416">
        <v>27165</v>
      </c>
      <c r="G8" s="417">
        <v>6770</v>
      </c>
      <c r="H8" s="628">
        <v>40023</v>
      </c>
      <c r="I8" s="416">
        <v>30477</v>
      </c>
      <c r="J8" s="417">
        <v>7385</v>
      </c>
      <c r="K8" s="412">
        <v>45015</v>
      </c>
      <c r="L8" s="37">
        <v>34017</v>
      </c>
      <c r="M8" s="106">
        <v>8984</v>
      </c>
      <c r="N8" s="419">
        <f t="shared" si="10"/>
        <v>0.24431856047984005</v>
      </c>
      <c r="O8" s="67" t="str">
        <f t="shared" si="11"/>
        <v/>
      </c>
      <c r="P8" s="67">
        <f t="shared" si="12"/>
        <v>1.3228050800662616</v>
      </c>
      <c r="Q8" s="67">
        <f t="shared" si="13"/>
        <v>1.313219805098927</v>
      </c>
      <c r="R8" s="67">
        <f t="shared" si="14"/>
        <v>1.3233089337684099</v>
      </c>
      <c r="S8" s="623" t="str">
        <f t="shared" si="5"/>
        <v/>
      </c>
      <c r="T8" s="122">
        <f t="shared" si="6"/>
        <v>1999</v>
      </c>
      <c r="U8" s="122">
        <f t="shared" si="7"/>
        <v>2161</v>
      </c>
      <c r="V8" s="126">
        <f t="shared" si="8"/>
        <v>2014</v>
      </c>
      <c r="W8" s="118" t="str">
        <f t="shared" si="0"/>
        <v/>
      </c>
      <c r="X8" s="118">
        <f t="shared" si="1"/>
        <v>1.0735873366464199</v>
      </c>
      <c r="Y8" s="118">
        <f t="shared" si="2"/>
        <v>1.0709059290612593</v>
      </c>
      <c r="Z8" s="133">
        <f t="shared" si="3"/>
        <v>1.0592056912720111</v>
      </c>
      <c r="AA8" s="624">
        <f t="shared" si="4"/>
        <v>1.3197779396445328</v>
      </c>
      <c r="AB8" s="39">
        <f t="shared" si="9"/>
        <v>1.0678996523265634</v>
      </c>
      <c r="AC8" s="314" t="s">
        <v>660</v>
      </c>
      <c r="AD8" s="625">
        <v>40185</v>
      </c>
      <c r="AE8" s="40" t="s">
        <v>459</v>
      </c>
      <c r="AF8" s="629" t="s">
        <v>426</v>
      </c>
      <c r="AG8" s="420" t="s">
        <v>425</v>
      </c>
      <c r="AH8" s="36"/>
      <c r="AP8" s="30"/>
      <c r="AQ8" s="32"/>
    </row>
    <row r="9" spans="1:43">
      <c r="A9" s="98" t="s">
        <v>460</v>
      </c>
      <c r="B9" s="416">
        <v>6447.3</v>
      </c>
      <c r="C9" s="416">
        <v>4205.8</v>
      </c>
      <c r="D9" s="416">
        <v>1501.1</v>
      </c>
      <c r="E9" s="628">
        <v>6563.2</v>
      </c>
      <c r="F9" s="416">
        <v>4336.2</v>
      </c>
      <c r="G9" s="417">
        <v>1625.8</v>
      </c>
      <c r="H9" s="628">
        <v>6086.1</v>
      </c>
      <c r="I9" s="416">
        <v>4087.7</v>
      </c>
      <c r="J9" s="417">
        <v>1521.6</v>
      </c>
      <c r="K9" s="418"/>
      <c r="L9" s="66"/>
      <c r="M9" s="105"/>
      <c r="N9" s="419">
        <f t="shared" si="10"/>
        <v>0.32835477563628601</v>
      </c>
      <c r="O9" s="67">
        <f t="shared" si="11"/>
        <v>1.5329544914166151</v>
      </c>
      <c r="P9" s="67">
        <f t="shared" si="12"/>
        <v>1.5135833218024999</v>
      </c>
      <c r="Q9" s="67">
        <f t="shared" si="13"/>
        <v>1.4888812779802825</v>
      </c>
      <c r="R9" s="67" t="str">
        <f t="shared" si="14"/>
        <v/>
      </c>
      <c r="S9" s="623">
        <f t="shared" si="5"/>
        <v>740.40000000000009</v>
      </c>
      <c r="T9" s="122">
        <f t="shared" si="6"/>
        <v>601.20000000000005</v>
      </c>
      <c r="U9" s="122">
        <f t="shared" si="7"/>
        <v>476.80000000000064</v>
      </c>
      <c r="V9" s="126" t="str">
        <f t="shared" si="8"/>
        <v/>
      </c>
      <c r="W9" s="118">
        <f t="shared" si="0"/>
        <v>1.1760426078272861</v>
      </c>
      <c r="X9" s="118">
        <f t="shared" si="1"/>
        <v>1.1386467413864674</v>
      </c>
      <c r="Y9" s="118">
        <f t="shared" si="2"/>
        <v>1.1166426107591068</v>
      </c>
      <c r="Z9" s="133" t="str">
        <f t="shared" si="3"/>
        <v/>
      </c>
      <c r="AA9" s="624">
        <f t="shared" si="4"/>
        <v>1.5118063637331325</v>
      </c>
      <c r="AB9" s="39">
        <f t="shared" si="9"/>
        <v>1.1437773199909536</v>
      </c>
      <c r="AC9" s="314" t="s">
        <v>661</v>
      </c>
      <c r="AD9" s="625">
        <v>40185</v>
      </c>
      <c r="AE9" s="40" t="s">
        <v>461</v>
      </c>
      <c r="AF9" s="626" t="s">
        <v>425</v>
      </c>
      <c r="AG9" s="627" t="s">
        <v>426</v>
      </c>
      <c r="AH9" s="36"/>
      <c r="AP9" s="30"/>
      <c r="AQ9" s="31"/>
    </row>
    <row r="10" spans="1:43">
      <c r="A10" s="98" t="s">
        <v>462</v>
      </c>
      <c r="B10" s="416">
        <v>439</v>
      </c>
      <c r="C10" s="416">
        <v>259.10000000000002</v>
      </c>
      <c r="D10" s="416">
        <v>118.1</v>
      </c>
      <c r="E10" s="628">
        <v>484.4</v>
      </c>
      <c r="F10" s="416">
        <v>271.89999999999998</v>
      </c>
      <c r="G10" s="417">
        <v>144.30000000000001</v>
      </c>
      <c r="H10" s="628">
        <v>532.29999999999995</v>
      </c>
      <c r="I10" s="416">
        <v>287</v>
      </c>
      <c r="J10" s="417">
        <v>150.9</v>
      </c>
      <c r="K10" s="418"/>
      <c r="L10" s="66"/>
      <c r="M10" s="105"/>
      <c r="N10" s="419">
        <f t="shared" si="10"/>
        <v>0.46083035882021411</v>
      </c>
      <c r="O10" s="67">
        <f t="shared" si="11"/>
        <v>1.6943265148591276</v>
      </c>
      <c r="P10" s="67">
        <f t="shared" si="12"/>
        <v>1.7815373299006989</v>
      </c>
      <c r="Q10" s="67">
        <f t="shared" si="13"/>
        <v>1.8547038327526131</v>
      </c>
      <c r="R10" s="67" t="str">
        <f t="shared" si="14"/>
        <v/>
      </c>
      <c r="S10" s="623">
        <f t="shared" si="5"/>
        <v>61.799999999999983</v>
      </c>
      <c r="T10" s="122">
        <f t="shared" si="6"/>
        <v>68.199999999999989</v>
      </c>
      <c r="U10" s="122">
        <f t="shared" si="7"/>
        <v>94.399999999999949</v>
      </c>
      <c r="V10" s="126" t="str">
        <f t="shared" si="8"/>
        <v/>
      </c>
      <c r="W10" s="118">
        <f t="shared" si="0"/>
        <v>1.2385179467387109</v>
      </c>
      <c r="X10" s="118">
        <f t="shared" si="1"/>
        <v>1.2508275101140125</v>
      </c>
      <c r="Y10" s="118">
        <f t="shared" si="2"/>
        <v>1.3289198606271775</v>
      </c>
      <c r="Z10" s="133" t="str">
        <f t="shared" si="3"/>
        <v/>
      </c>
      <c r="AA10" s="624">
        <f t="shared" si="4"/>
        <v>1.7768558925041464</v>
      </c>
      <c r="AB10" s="39">
        <f t="shared" si="9"/>
        <v>1.2727551058266335</v>
      </c>
      <c r="AC10" s="314" t="s">
        <v>662</v>
      </c>
      <c r="AD10" s="625">
        <v>40189</v>
      </c>
      <c r="AE10" s="40" t="s">
        <v>463</v>
      </c>
      <c r="AF10" s="626" t="s">
        <v>425</v>
      </c>
      <c r="AG10" s="420" t="s">
        <v>425</v>
      </c>
      <c r="AH10" s="36"/>
      <c r="AP10" s="30"/>
      <c r="AQ10" s="32"/>
    </row>
    <row r="11" spans="1:43">
      <c r="A11" s="98" t="s">
        <v>464</v>
      </c>
      <c r="B11" s="414"/>
      <c r="C11" s="414"/>
      <c r="D11" s="414"/>
      <c r="E11" s="621"/>
      <c r="F11" s="414"/>
      <c r="G11" s="415"/>
      <c r="H11" s="621">
        <v>566379</v>
      </c>
      <c r="I11" s="414">
        <v>326374</v>
      </c>
      <c r="J11" s="415">
        <v>186502</v>
      </c>
      <c r="K11" s="621">
        <v>482205</v>
      </c>
      <c r="L11" s="414">
        <v>280224</v>
      </c>
      <c r="M11" s="415">
        <v>182080</v>
      </c>
      <c r="N11" s="419">
        <f t="shared" si="10"/>
        <v>0.41886956792235669</v>
      </c>
      <c r="O11" s="67" t="str">
        <f t="shared" si="11"/>
        <v/>
      </c>
      <c r="P11" s="67" t="str">
        <f t="shared" si="12"/>
        <v/>
      </c>
      <c r="Q11" s="67">
        <f t="shared" si="13"/>
        <v>1.7353680133834191</v>
      </c>
      <c r="R11" s="67">
        <f t="shared" si="14"/>
        <v>1.7207840870161013</v>
      </c>
      <c r="S11" s="623" t="str">
        <f t="shared" si="5"/>
        <v/>
      </c>
      <c r="T11" s="122" t="str">
        <f t="shared" si="6"/>
        <v/>
      </c>
      <c r="U11" s="122">
        <f t="shared" si="7"/>
        <v>53503</v>
      </c>
      <c r="V11" s="126">
        <f t="shared" si="8"/>
        <v>19901</v>
      </c>
      <c r="W11" s="118" t="str">
        <f t="shared" si="0"/>
        <v/>
      </c>
      <c r="X11" s="118" t="str">
        <f t="shared" si="1"/>
        <v/>
      </c>
      <c r="Y11" s="118">
        <f t="shared" si="2"/>
        <v>1.1639315631759883</v>
      </c>
      <c r="Z11" s="133">
        <f t="shared" si="3"/>
        <v>1.0710181854516387</v>
      </c>
      <c r="AA11" s="624">
        <f t="shared" si="4"/>
        <v>1.7280760501997601</v>
      </c>
      <c r="AB11" s="39">
        <f t="shared" si="9"/>
        <v>1.1174748743138134</v>
      </c>
      <c r="AC11" s="314" t="s">
        <v>663</v>
      </c>
      <c r="AD11" s="625">
        <v>40185</v>
      </c>
      <c r="AE11" s="40" t="s">
        <v>465</v>
      </c>
      <c r="AF11" s="626" t="s">
        <v>425</v>
      </c>
      <c r="AG11" s="627" t="s">
        <v>426</v>
      </c>
      <c r="AH11" s="36"/>
      <c r="AP11" s="30"/>
      <c r="AQ11" s="32"/>
    </row>
    <row r="12" spans="1:43">
      <c r="A12" s="98" t="s">
        <v>466</v>
      </c>
      <c r="B12" s="414">
        <v>4156759</v>
      </c>
      <c r="C12" s="414">
        <v>2096279</v>
      </c>
      <c r="D12" s="414">
        <v>1045140</v>
      </c>
      <c r="E12" s="621">
        <v>4481346</v>
      </c>
      <c r="F12" s="414">
        <v>2234365</v>
      </c>
      <c r="G12" s="415">
        <v>1122047</v>
      </c>
      <c r="H12" s="621">
        <v>4094161</v>
      </c>
      <c r="I12" s="414">
        <v>2156153</v>
      </c>
      <c r="J12" s="415">
        <v>1067909</v>
      </c>
      <c r="K12" s="622"/>
      <c r="L12" s="68"/>
      <c r="M12" s="107"/>
      <c r="N12" s="419">
        <f t="shared" si="10"/>
        <v>0.47335901055185664</v>
      </c>
      <c r="O12" s="67">
        <f t="shared" si="11"/>
        <v>1.9829225976122453</v>
      </c>
      <c r="P12" s="67">
        <f t="shared" si="12"/>
        <v>2.0056463469486858</v>
      </c>
      <c r="Q12" s="67">
        <f t="shared" si="13"/>
        <v>1.8988267530179908</v>
      </c>
      <c r="R12" s="67" t="str">
        <f t="shared" si="14"/>
        <v/>
      </c>
      <c r="S12" s="623">
        <f t="shared" si="5"/>
        <v>1015340</v>
      </c>
      <c r="T12" s="122">
        <f t="shared" si="6"/>
        <v>1124934</v>
      </c>
      <c r="U12" s="122">
        <f t="shared" si="7"/>
        <v>870099</v>
      </c>
      <c r="V12" s="126" t="str">
        <f t="shared" si="8"/>
        <v/>
      </c>
      <c r="W12" s="118">
        <f t="shared" si="0"/>
        <v>1.4843534663086355</v>
      </c>
      <c r="X12" s="118">
        <f t="shared" si="1"/>
        <v>1.5034692183237743</v>
      </c>
      <c r="Y12" s="118">
        <f t="shared" si="2"/>
        <v>1.4035423274693399</v>
      </c>
      <c r="Z12" s="133" t="str">
        <f t="shared" si="3"/>
        <v/>
      </c>
      <c r="AA12" s="624">
        <f t="shared" si="4"/>
        <v>1.9624652325263074</v>
      </c>
      <c r="AB12" s="39">
        <f t="shared" si="9"/>
        <v>1.4637883373672498</v>
      </c>
      <c r="AC12" s="314" t="s">
        <v>664</v>
      </c>
      <c r="AD12" s="625">
        <v>40185</v>
      </c>
      <c r="AE12" s="40" t="s">
        <v>467</v>
      </c>
      <c r="AF12" s="626" t="s">
        <v>425</v>
      </c>
      <c r="AG12" s="627" t="s">
        <v>426</v>
      </c>
      <c r="AH12" s="36"/>
      <c r="AP12" s="30"/>
      <c r="AQ12" s="32"/>
    </row>
    <row r="13" spans="1:43">
      <c r="A13" s="98" t="s">
        <v>468</v>
      </c>
      <c r="B13" s="416"/>
      <c r="C13" s="416"/>
      <c r="D13" s="416"/>
      <c r="E13" s="628">
        <v>64401</v>
      </c>
      <c r="F13" s="416">
        <v>56450</v>
      </c>
      <c r="G13" s="417">
        <v>6273</v>
      </c>
      <c r="H13" s="628">
        <v>72483</v>
      </c>
      <c r="I13" s="416">
        <v>63503</v>
      </c>
      <c r="J13" s="417">
        <v>6954</v>
      </c>
      <c r="K13" s="412">
        <v>71422</v>
      </c>
      <c r="L13" s="37">
        <v>62335</v>
      </c>
      <c r="M13" s="106">
        <v>7252</v>
      </c>
      <c r="N13" s="419">
        <f t="shared" si="10"/>
        <v>0.12722970513287221</v>
      </c>
      <c r="O13" s="67" t="str">
        <f t="shared" si="11"/>
        <v/>
      </c>
      <c r="P13" s="67">
        <f t="shared" si="12"/>
        <v>1.1408503100088574</v>
      </c>
      <c r="Q13" s="67">
        <f t="shared" si="13"/>
        <v>1.1414106420169126</v>
      </c>
      <c r="R13" s="67">
        <f t="shared" si="14"/>
        <v>1.14577685088634</v>
      </c>
      <c r="S13" s="623" t="str">
        <f t="shared" si="5"/>
        <v/>
      </c>
      <c r="T13" s="122">
        <f t="shared" si="6"/>
        <v>1678</v>
      </c>
      <c r="U13" s="122">
        <f t="shared" si="7"/>
        <v>2026</v>
      </c>
      <c r="V13" s="126">
        <f t="shared" si="8"/>
        <v>1835</v>
      </c>
      <c r="W13" s="118" t="str">
        <f t="shared" si="0"/>
        <v/>
      </c>
      <c r="X13" s="118">
        <f t="shared" si="1"/>
        <v>1.0297254207263065</v>
      </c>
      <c r="Y13" s="118">
        <f t="shared" si="2"/>
        <v>1.0319040045352188</v>
      </c>
      <c r="Z13" s="133">
        <f t="shared" si="3"/>
        <v>1.0294377155691024</v>
      </c>
      <c r="AA13" s="624">
        <f t="shared" si="4"/>
        <v>1.14267926763737</v>
      </c>
      <c r="AB13" s="39">
        <f t="shared" si="9"/>
        <v>1.0303557136102093</v>
      </c>
      <c r="AC13" t="s">
        <v>665</v>
      </c>
      <c r="AD13" s="625">
        <v>40185</v>
      </c>
      <c r="AE13" s="40" t="s">
        <v>469</v>
      </c>
      <c r="AF13" s="629" t="s">
        <v>426</v>
      </c>
      <c r="AG13" s="420" t="s">
        <v>425</v>
      </c>
      <c r="AH13" s="36"/>
      <c r="AP13" s="30"/>
      <c r="AQ13" s="32"/>
    </row>
    <row r="14" spans="1:43">
      <c r="A14" s="98" t="s">
        <v>470</v>
      </c>
      <c r="B14" s="416"/>
      <c r="C14" s="416"/>
      <c r="D14" s="416"/>
      <c r="E14" s="628">
        <v>9317</v>
      </c>
      <c r="F14" s="416">
        <v>4593</v>
      </c>
      <c r="G14" s="417">
        <v>2488</v>
      </c>
      <c r="H14" s="628">
        <v>10358</v>
      </c>
      <c r="I14" s="416">
        <v>4943</v>
      </c>
      <c r="J14" s="417">
        <v>2923</v>
      </c>
      <c r="K14" s="412">
        <v>10677</v>
      </c>
      <c r="L14" s="37">
        <v>4938</v>
      </c>
      <c r="M14" s="106">
        <v>3086</v>
      </c>
      <c r="N14" s="419">
        <f t="shared" si="10"/>
        <v>0.53751053666760329</v>
      </c>
      <c r="O14" s="67" t="str">
        <f t="shared" si="11"/>
        <v/>
      </c>
      <c r="P14" s="67">
        <f t="shared" si="12"/>
        <v>2.0285216634008272</v>
      </c>
      <c r="Q14" s="67">
        <f t="shared" si="13"/>
        <v>2.0954885696945174</v>
      </c>
      <c r="R14" s="67">
        <f t="shared" si="14"/>
        <v>2.1622114216281894</v>
      </c>
      <c r="S14" s="623" t="str">
        <f t="shared" si="5"/>
        <v/>
      </c>
      <c r="T14" s="122">
        <f t="shared" si="6"/>
        <v>2236</v>
      </c>
      <c r="U14" s="122">
        <f t="shared" si="7"/>
        <v>2492</v>
      </c>
      <c r="V14" s="126">
        <f t="shared" si="8"/>
        <v>2653</v>
      </c>
      <c r="W14" s="118" t="str">
        <f t="shared" si="0"/>
        <v/>
      </c>
      <c r="X14" s="118">
        <f t="shared" si="1"/>
        <v>1.4868277814064881</v>
      </c>
      <c r="Y14" s="118">
        <f t="shared" si="2"/>
        <v>1.5041472789803763</v>
      </c>
      <c r="Z14" s="133">
        <f t="shared" si="3"/>
        <v>1.5372620494127176</v>
      </c>
      <c r="AA14" s="624">
        <f t="shared" si="4"/>
        <v>2.0954072182411778</v>
      </c>
      <c r="AB14" s="39">
        <f t="shared" si="9"/>
        <v>1.5094123699331938</v>
      </c>
      <c r="AC14" s="314" t="s">
        <v>666</v>
      </c>
      <c r="AD14" s="625">
        <v>40200</v>
      </c>
      <c r="AE14" s="41" t="s">
        <v>471</v>
      </c>
      <c r="AF14" s="629" t="s">
        <v>426</v>
      </c>
      <c r="AG14" s="627" t="s">
        <v>426</v>
      </c>
      <c r="AH14" s="36"/>
    </row>
    <row r="15" spans="1:43">
      <c r="A15" s="98" t="s">
        <v>472</v>
      </c>
      <c r="B15" s="416">
        <v>43821.4</v>
      </c>
      <c r="C15" s="416">
        <v>32079.200000000001</v>
      </c>
      <c r="D15" s="416">
        <v>9300.6</v>
      </c>
      <c r="E15" s="628">
        <v>76329.5</v>
      </c>
      <c r="F15" s="416">
        <v>60221.8</v>
      </c>
      <c r="G15" s="417">
        <v>11314.4</v>
      </c>
      <c r="H15" s="628">
        <v>87471.9</v>
      </c>
      <c r="I15" s="416">
        <v>69181.5</v>
      </c>
      <c r="J15" s="417">
        <v>12244.2</v>
      </c>
      <c r="K15" s="418"/>
      <c r="L15" s="66"/>
      <c r="M15" s="105"/>
      <c r="N15" s="419">
        <f t="shared" si="10"/>
        <v>0.20910029392296264</v>
      </c>
      <c r="O15" s="67">
        <f t="shared" si="11"/>
        <v>1.3660378064290881</v>
      </c>
      <c r="P15" s="67">
        <f t="shared" si="12"/>
        <v>1.2674729084816461</v>
      </c>
      <c r="Q15" s="67">
        <f t="shared" si="13"/>
        <v>1.2643828191062638</v>
      </c>
      <c r="R15" s="67" t="str">
        <f t="shared" si="14"/>
        <v/>
      </c>
      <c r="S15" s="623">
        <f t="shared" si="5"/>
        <v>2441.6000000000004</v>
      </c>
      <c r="T15" s="122">
        <f t="shared" si="6"/>
        <v>4793.2999999999975</v>
      </c>
      <c r="U15" s="122">
        <f t="shared" si="7"/>
        <v>6046.1999999999935</v>
      </c>
      <c r="V15" s="126" t="str">
        <f t="shared" si="8"/>
        <v/>
      </c>
      <c r="W15" s="118">
        <f t="shared" si="0"/>
        <v>1.0761116237312651</v>
      </c>
      <c r="X15" s="118">
        <f t="shared" si="1"/>
        <v>1.0795941004752432</v>
      </c>
      <c r="Y15" s="118">
        <f t="shared" si="2"/>
        <v>1.08739619696017</v>
      </c>
      <c r="Z15" s="133" t="str">
        <f t="shared" si="3"/>
        <v/>
      </c>
      <c r="AA15" s="624">
        <f t="shared" si="4"/>
        <v>1.2992978446723329</v>
      </c>
      <c r="AB15" s="39">
        <f t="shared" si="9"/>
        <v>1.0810339737222261</v>
      </c>
      <c r="AC15" s="314" t="s">
        <v>667</v>
      </c>
      <c r="AD15" s="625">
        <v>40186</v>
      </c>
      <c r="AE15" s="40" t="s">
        <v>473</v>
      </c>
      <c r="AF15" s="629" t="s">
        <v>426</v>
      </c>
      <c r="AG15" s="420" t="s">
        <v>425</v>
      </c>
      <c r="AH15" s="36"/>
    </row>
    <row r="16" spans="1:43">
      <c r="A16" s="98" t="s">
        <v>474</v>
      </c>
      <c r="B16" s="416"/>
      <c r="C16" s="416"/>
      <c r="D16" s="416"/>
      <c r="E16" s="628">
        <v>57420</v>
      </c>
      <c r="F16" s="416">
        <v>47904</v>
      </c>
      <c r="G16" s="417">
        <v>5948</v>
      </c>
      <c r="H16" s="628">
        <v>61133</v>
      </c>
      <c r="I16" s="416">
        <v>49462</v>
      </c>
      <c r="J16" s="417">
        <v>7538</v>
      </c>
      <c r="K16" s="412">
        <v>61101</v>
      </c>
      <c r="L16" s="37">
        <v>50144</v>
      </c>
      <c r="M16" s="106">
        <v>7102</v>
      </c>
      <c r="N16" s="419">
        <f t="shared" si="10"/>
        <v>0.17932603394379798</v>
      </c>
      <c r="O16" s="67" t="str">
        <f t="shared" si="11"/>
        <v/>
      </c>
      <c r="P16" s="67">
        <f t="shared" si="12"/>
        <v>1.1986472945891784</v>
      </c>
      <c r="Q16" s="67">
        <f t="shared" si="13"/>
        <v>1.2359589179572197</v>
      </c>
      <c r="R16" s="67">
        <f t="shared" si="14"/>
        <v>1.2185106892150606</v>
      </c>
      <c r="S16" s="623" t="str">
        <f t="shared" si="5"/>
        <v/>
      </c>
      <c r="T16" s="122">
        <f t="shared" si="6"/>
        <v>3568</v>
      </c>
      <c r="U16" s="122">
        <f t="shared" si="7"/>
        <v>4133</v>
      </c>
      <c r="V16" s="126">
        <f t="shared" si="8"/>
        <v>3855</v>
      </c>
      <c r="W16" s="118" t="str">
        <f t="shared" si="0"/>
        <v/>
      </c>
      <c r="X16" s="118">
        <f t="shared" si="1"/>
        <v>1.0744822979291917</v>
      </c>
      <c r="Y16" s="118">
        <f t="shared" si="2"/>
        <v>1.0835590958715782</v>
      </c>
      <c r="Z16" s="133">
        <f t="shared" si="3"/>
        <v>1.0768785896617741</v>
      </c>
      <c r="AA16" s="624">
        <f t="shared" si="4"/>
        <v>1.2177056339204861</v>
      </c>
      <c r="AB16" s="39">
        <f t="shared" si="9"/>
        <v>1.0783066611541814</v>
      </c>
      <c r="AC16" s="314" t="s">
        <v>668</v>
      </c>
      <c r="AD16" s="625">
        <v>40185</v>
      </c>
      <c r="AE16" s="69" t="s">
        <v>361</v>
      </c>
      <c r="AF16" s="626" t="s">
        <v>425</v>
      </c>
      <c r="AG16" s="420" t="s">
        <v>425</v>
      </c>
      <c r="AH16" s="36"/>
    </row>
    <row r="17" spans="1:34">
      <c r="A17" s="98" t="s">
        <v>475</v>
      </c>
      <c r="B17" s="414"/>
      <c r="C17" s="414"/>
      <c r="D17" s="414"/>
      <c r="E17" s="621">
        <v>104732</v>
      </c>
      <c r="F17" s="414">
        <v>85466</v>
      </c>
      <c r="G17" s="415">
        <f>10219+4417</f>
        <v>14636</v>
      </c>
      <c r="H17" s="621">
        <v>104792</v>
      </c>
      <c r="I17" s="414">
        <v>86795</v>
      </c>
      <c r="J17" s="415">
        <f>11788+4839</f>
        <v>16627</v>
      </c>
      <c r="K17" s="622"/>
      <c r="L17" s="68"/>
      <c r="M17" s="107"/>
      <c r="N17" s="419">
        <f t="shared" si="10"/>
        <v>0.171740209176273</v>
      </c>
      <c r="O17" s="67" t="str">
        <f t="shared" si="11"/>
        <v/>
      </c>
      <c r="P17" s="67">
        <f t="shared" si="12"/>
        <v>1.2254229752182155</v>
      </c>
      <c r="Q17" s="67">
        <f t="shared" si="13"/>
        <v>1.2073506538395069</v>
      </c>
      <c r="R17" s="67" t="str">
        <f t="shared" si="14"/>
        <v/>
      </c>
      <c r="S17" s="623" t="str">
        <f t="shared" si="5"/>
        <v/>
      </c>
      <c r="T17" s="122">
        <f t="shared" si="6"/>
        <v>4630</v>
      </c>
      <c r="U17" s="122">
        <f t="shared" si="7"/>
        <v>1370</v>
      </c>
      <c r="V17" s="126" t="str">
        <f t="shared" si="8"/>
        <v/>
      </c>
      <c r="W17" s="118" t="str">
        <f t="shared" si="0"/>
        <v/>
      </c>
      <c r="X17" s="118">
        <f t="shared" si="1"/>
        <v>1.0541735894975779</v>
      </c>
      <c r="Y17" s="118">
        <f t="shared" si="2"/>
        <v>1.0157843193732359</v>
      </c>
      <c r="Z17" s="133" t="str">
        <f t="shared" si="3"/>
        <v/>
      </c>
      <c r="AA17" s="624">
        <f t="shared" si="4"/>
        <v>1.2163868145288612</v>
      </c>
      <c r="AB17" s="39">
        <f t="shared" si="9"/>
        <v>1.0349789544354069</v>
      </c>
      <c r="AC17" s="314" t="s">
        <v>669</v>
      </c>
      <c r="AD17" s="625">
        <v>40185</v>
      </c>
      <c r="AE17" s="40" t="s">
        <v>580</v>
      </c>
      <c r="AF17" s="626" t="s">
        <v>425</v>
      </c>
      <c r="AG17" s="627" t="s">
        <v>426</v>
      </c>
      <c r="AH17" s="36"/>
    </row>
    <row r="18" spans="1:34">
      <c r="A18" s="98" t="s">
        <v>476</v>
      </c>
      <c r="B18" s="414"/>
      <c r="C18" s="414"/>
      <c r="D18" s="414"/>
      <c r="E18" s="621"/>
      <c r="F18" s="414"/>
      <c r="G18" s="415"/>
      <c r="H18" s="621">
        <v>1347841</v>
      </c>
      <c r="I18" s="414">
        <v>979391</v>
      </c>
      <c r="J18" s="415">
        <v>310871</v>
      </c>
      <c r="K18" s="621">
        <v>1122497</v>
      </c>
      <c r="L18" s="414">
        <v>833053</v>
      </c>
      <c r="M18" s="415">
        <v>291031</v>
      </c>
      <c r="N18" s="419">
        <f t="shared" si="10"/>
        <v>0.25785725930670639</v>
      </c>
      <c r="O18" s="67" t="str">
        <f t="shared" si="11"/>
        <v/>
      </c>
      <c r="P18" s="67" t="str">
        <f t="shared" si="12"/>
        <v/>
      </c>
      <c r="Q18" s="67">
        <f t="shared" si="13"/>
        <v>1.3762031711543194</v>
      </c>
      <c r="R18" s="67">
        <f t="shared" si="14"/>
        <v>1.3474496820730493</v>
      </c>
      <c r="S18" s="623" t="str">
        <f t="shared" si="5"/>
        <v/>
      </c>
      <c r="T18" s="122" t="str">
        <f t="shared" si="6"/>
        <v/>
      </c>
      <c r="U18" s="122">
        <f t="shared" si="7"/>
        <v>57579</v>
      </c>
      <c r="V18" s="126">
        <f t="shared" si="8"/>
        <v>-1587</v>
      </c>
      <c r="W18" s="118" t="str">
        <f t="shared" si="0"/>
        <v/>
      </c>
      <c r="X18" s="118" t="str">
        <f t="shared" si="1"/>
        <v/>
      </c>
      <c r="Y18" s="118">
        <f t="shared" si="2"/>
        <v>1.0587906158010436</v>
      </c>
      <c r="Z18" s="133">
        <f t="shared" si="3"/>
        <v>0.99809495914425617</v>
      </c>
      <c r="AA18" s="624">
        <f t="shared" si="4"/>
        <v>1.3618264266136844</v>
      </c>
      <c r="AB18" s="39">
        <f t="shared" si="9"/>
        <v>1.0284427874726498</v>
      </c>
      <c r="AC18" s="314" t="s">
        <v>670</v>
      </c>
      <c r="AD18" s="625">
        <v>40185</v>
      </c>
      <c r="AE18" s="41" t="s">
        <v>477</v>
      </c>
      <c r="AF18" s="626" t="s">
        <v>425</v>
      </c>
      <c r="AG18" s="627" t="s">
        <v>426</v>
      </c>
      <c r="AH18" s="36"/>
    </row>
    <row r="19" spans="1:34">
      <c r="A19" s="98" t="s">
        <v>478</v>
      </c>
      <c r="B19" s="416"/>
      <c r="C19" s="416"/>
      <c r="D19" s="416"/>
      <c r="E19" s="628">
        <v>5319.9</v>
      </c>
      <c r="F19" s="416">
        <v>3847.4580000000001</v>
      </c>
      <c r="G19" s="417">
        <v>1021.1130000000001</v>
      </c>
      <c r="H19" s="628">
        <v>7093.9620000000004</v>
      </c>
      <c r="I19" s="416">
        <v>5280.2550000000001</v>
      </c>
      <c r="J19" s="417">
        <v>1182.0160000000001</v>
      </c>
      <c r="K19" s="412">
        <v>8805.9</v>
      </c>
      <c r="L19" s="37">
        <v>6535.76</v>
      </c>
      <c r="M19" s="106">
        <v>1445.4190000000001</v>
      </c>
      <c r="N19" s="419">
        <f t="shared" si="10"/>
        <v>0.25779761296403542</v>
      </c>
      <c r="O19" s="67" t="str">
        <f t="shared" si="11"/>
        <v/>
      </c>
      <c r="P19" s="67">
        <f t="shared" si="12"/>
        <v>1.3827051523369454</v>
      </c>
      <c r="Q19" s="67">
        <f t="shared" si="13"/>
        <v>1.3434885247019321</v>
      </c>
      <c r="R19" s="67">
        <f t="shared" si="14"/>
        <v>1.3473413956448828</v>
      </c>
      <c r="S19" s="623" t="str">
        <f t="shared" si="5"/>
        <v/>
      </c>
      <c r="T19" s="122">
        <f t="shared" si="6"/>
        <v>451.3289999999995</v>
      </c>
      <c r="U19" s="122">
        <f t="shared" si="7"/>
        <v>631.69100000000026</v>
      </c>
      <c r="V19" s="126">
        <f t="shared" si="8"/>
        <v>824.72099999999932</v>
      </c>
      <c r="W19" s="118" t="str">
        <f t="shared" si="0"/>
        <v/>
      </c>
      <c r="X19" s="118">
        <f t="shared" si="1"/>
        <v>1.1173057639615558</v>
      </c>
      <c r="Y19" s="118">
        <f t="shared" si="2"/>
        <v>1.1196326692555569</v>
      </c>
      <c r="Z19" s="133">
        <f t="shared" si="3"/>
        <v>1.1261859370601122</v>
      </c>
      <c r="AA19" s="624">
        <f t="shared" si="4"/>
        <v>1.3578450242279203</v>
      </c>
      <c r="AB19" s="39">
        <f t="shared" si="9"/>
        <v>1.121041456759075</v>
      </c>
      <c r="AC19" s="314" t="s">
        <v>671</v>
      </c>
      <c r="AD19" s="625">
        <v>40185</v>
      </c>
      <c r="AE19" s="40" t="s">
        <v>479</v>
      </c>
      <c r="AF19" s="629" t="s">
        <v>426</v>
      </c>
      <c r="AG19" s="420" t="s">
        <v>425</v>
      </c>
      <c r="AH19" s="36"/>
    </row>
    <row r="20" spans="1:34">
      <c r="A20" s="98" t="s">
        <v>480</v>
      </c>
      <c r="B20" s="416">
        <v>1774</v>
      </c>
      <c r="C20" s="416">
        <v>891.61400000000003</v>
      </c>
      <c r="D20" s="416">
        <v>214.51300000000001</v>
      </c>
      <c r="E20" s="628">
        <v>3180.319</v>
      </c>
      <c r="F20" s="416">
        <v>1717.0640000000001</v>
      </c>
      <c r="G20" s="417">
        <v>396.49799999999999</v>
      </c>
      <c r="H20" s="628">
        <v>3494.0770000000002</v>
      </c>
      <c r="I20" s="416">
        <v>1940.5619999999999</v>
      </c>
      <c r="J20" s="417">
        <v>485.38900000000001</v>
      </c>
      <c r="K20" s="418"/>
      <c r="L20" s="66"/>
      <c r="M20" s="105"/>
      <c r="N20" s="419">
        <f t="shared" si="10"/>
        <v>0.44461384222499967</v>
      </c>
      <c r="O20" s="67">
        <f t="shared" si="11"/>
        <v>1.9896502298079661</v>
      </c>
      <c r="P20" s="67">
        <f t="shared" si="12"/>
        <v>1.8521843099616553</v>
      </c>
      <c r="Q20" s="67">
        <f t="shared" si="13"/>
        <v>1.8005490162128293</v>
      </c>
      <c r="R20" s="67" t="str">
        <f t="shared" si="14"/>
        <v/>
      </c>
      <c r="S20" s="623">
        <f t="shared" si="5"/>
        <v>667.87299999999993</v>
      </c>
      <c r="T20" s="122">
        <f t="shared" si="6"/>
        <v>1066.7569999999998</v>
      </c>
      <c r="U20" s="122">
        <f t="shared" si="7"/>
        <v>1068.1260000000002</v>
      </c>
      <c r="V20" s="126" t="str">
        <f t="shared" si="8"/>
        <v/>
      </c>
      <c r="W20" s="118">
        <f t="shared" si="0"/>
        <v>1.7490606921829399</v>
      </c>
      <c r="X20" s="118">
        <f t="shared" si="1"/>
        <v>1.621268048249803</v>
      </c>
      <c r="Y20" s="118">
        <f t="shared" si="2"/>
        <v>1.5504209605258685</v>
      </c>
      <c r="Z20" s="133" t="str">
        <f t="shared" si="3"/>
        <v/>
      </c>
      <c r="AA20" s="624">
        <f t="shared" si="4"/>
        <v>1.880794518660817</v>
      </c>
      <c r="AB20" s="39">
        <f t="shared" si="9"/>
        <v>1.640249900319537</v>
      </c>
      <c r="AC20" s="314" t="s">
        <v>672</v>
      </c>
      <c r="AD20" s="625">
        <v>40185</v>
      </c>
      <c r="AE20" s="40" t="s">
        <v>481</v>
      </c>
      <c r="AF20" s="626" t="s">
        <v>425</v>
      </c>
      <c r="AG20" s="627" t="s">
        <v>426</v>
      </c>
      <c r="AH20" s="36"/>
    </row>
    <row r="21" spans="1:34">
      <c r="A21" s="98" t="s">
        <v>482</v>
      </c>
      <c r="B21" s="416">
        <f>69100+43669</f>
        <v>112769</v>
      </c>
      <c r="C21" s="416">
        <f>43279+23494</f>
        <v>66773</v>
      </c>
      <c r="D21" s="416">
        <v>12893</v>
      </c>
      <c r="E21" s="628">
        <f>60670+38856</f>
        <v>99526</v>
      </c>
      <c r="F21" s="416">
        <f>47309+25816</f>
        <v>73125</v>
      </c>
      <c r="G21" s="417">
        <v>14148</v>
      </c>
      <c r="H21" s="628">
        <f>55181+36329</f>
        <v>91510</v>
      </c>
      <c r="I21" s="416">
        <f>54602+29170</f>
        <v>83772</v>
      </c>
      <c r="J21" s="417">
        <v>14401</v>
      </c>
      <c r="K21" s="418"/>
      <c r="L21" s="66"/>
      <c r="M21" s="105"/>
      <c r="N21" s="419">
        <f t="shared" si="10"/>
        <v>8.4559064583105678E-2</v>
      </c>
      <c r="O21" s="67">
        <f t="shared" si="11"/>
        <v>1.6888412981294836</v>
      </c>
      <c r="P21" s="67">
        <f t="shared" si="12"/>
        <v>1.3610393162393162</v>
      </c>
      <c r="Q21" s="67">
        <f t="shared" si="13"/>
        <v>1.0923697655541231</v>
      </c>
      <c r="R21" s="67" t="str">
        <f t="shared" si="14"/>
        <v/>
      </c>
      <c r="S21" s="623">
        <f t="shared" si="5"/>
        <v>33103</v>
      </c>
      <c r="T21" s="122">
        <f t="shared" si="6"/>
        <v>12253</v>
      </c>
      <c r="U21" s="122">
        <f t="shared" si="7"/>
        <v>-6663</v>
      </c>
      <c r="V21" s="126" t="str">
        <f t="shared" si="8"/>
        <v/>
      </c>
      <c r="W21" s="118">
        <f t="shared" si="0"/>
        <v>1.4957542719362618</v>
      </c>
      <c r="X21" s="118">
        <f t="shared" si="1"/>
        <v>1.1675623931623931</v>
      </c>
      <c r="Y21" s="118">
        <f t="shared" si="2"/>
        <v>0.9204626844291649</v>
      </c>
      <c r="Z21" s="133" t="str">
        <f t="shared" si="3"/>
        <v/>
      </c>
      <c r="AA21" s="624">
        <f t="shared" si="4"/>
        <v>1.3807501266409743</v>
      </c>
      <c r="AB21" s="630">
        <f t="shared" si="9"/>
        <v>1.1945931165092734</v>
      </c>
      <c r="AC21" s="314" t="s">
        <v>673</v>
      </c>
      <c r="AD21" s="625">
        <v>40200</v>
      </c>
      <c r="AE21" s="41" t="s">
        <v>581</v>
      </c>
      <c r="AF21" s="626" t="s">
        <v>425</v>
      </c>
      <c r="AG21" s="627" t="s">
        <v>426</v>
      </c>
      <c r="AH21" s="36"/>
    </row>
    <row r="22" spans="1:34">
      <c r="A22" s="100" t="s">
        <v>484</v>
      </c>
      <c r="B22" s="416">
        <v>5035.9380000000001</v>
      </c>
      <c r="C22" s="416">
        <f>5035.938-1469.926</f>
        <v>3566.0120000000002</v>
      </c>
      <c r="D22" s="416">
        <v>1164.549</v>
      </c>
      <c r="E22" s="628">
        <v>5904.4160000000002</v>
      </c>
      <c r="F22" s="416">
        <f>5904.416-1716.574</f>
        <v>4187.8420000000006</v>
      </c>
      <c r="G22" s="417">
        <v>1328.635</v>
      </c>
      <c r="H22" s="628">
        <v>6394.87</v>
      </c>
      <c r="I22" s="416">
        <f>6394.874-1884.538</f>
        <v>4510.3359999999993</v>
      </c>
      <c r="J22" s="417">
        <v>1441.6949999999999</v>
      </c>
      <c r="K22" s="418"/>
      <c r="L22" s="66"/>
      <c r="M22" s="105"/>
      <c r="N22" s="419">
        <f t="shared" si="10"/>
        <v>0.29469465368334313</v>
      </c>
      <c r="O22" s="67">
        <f t="shared" si="11"/>
        <v>1.4122044457506031</v>
      </c>
      <c r="P22" s="67">
        <f t="shared" si="12"/>
        <v>1.4098946426345595</v>
      </c>
      <c r="Q22" s="67">
        <f t="shared" si="13"/>
        <v>1.417825634276471</v>
      </c>
      <c r="R22" s="67" t="str">
        <f t="shared" si="14"/>
        <v/>
      </c>
      <c r="S22" s="623">
        <f t="shared" si="5"/>
        <v>305.37699999999995</v>
      </c>
      <c r="T22" s="122">
        <f t="shared" si="6"/>
        <v>387.93899999999962</v>
      </c>
      <c r="U22" s="122">
        <f t="shared" si="7"/>
        <v>442.83900000000062</v>
      </c>
      <c r="V22" s="126" t="str">
        <f t="shared" si="8"/>
        <v/>
      </c>
      <c r="W22" s="118">
        <f t="shared" si="0"/>
        <v>1.0856354381308868</v>
      </c>
      <c r="X22" s="118">
        <f t="shared" si="1"/>
        <v>1.0926345836351992</v>
      </c>
      <c r="Y22" s="118">
        <f t="shared" si="2"/>
        <v>1.0981831508783382</v>
      </c>
      <c r="Z22" s="133" t="str">
        <f t="shared" si="3"/>
        <v/>
      </c>
      <c r="AA22" s="624">
        <f t="shared" si="4"/>
        <v>1.4133082408872113</v>
      </c>
      <c r="AB22" s="39">
        <f t="shared" si="9"/>
        <v>1.0921510575481415</v>
      </c>
      <c r="AC22" s="314" t="s">
        <v>674</v>
      </c>
      <c r="AD22" s="42">
        <v>40198</v>
      </c>
      <c r="AE22" s="41" t="s">
        <v>485</v>
      </c>
      <c r="AF22" s="629" t="s">
        <v>426</v>
      </c>
      <c r="AG22" s="627" t="s">
        <v>426</v>
      </c>
      <c r="AH22" s="36"/>
    </row>
    <row r="23" spans="1:34">
      <c r="A23" s="98" t="s">
        <v>486</v>
      </c>
      <c r="B23" s="416"/>
      <c r="C23" s="416"/>
      <c r="D23" s="416"/>
      <c r="E23" s="628">
        <f>104286</f>
        <v>104286</v>
      </c>
      <c r="F23" s="416">
        <f>63435+14959</f>
        <v>78394</v>
      </c>
      <c r="G23" s="417">
        <v>12430</v>
      </c>
      <c r="H23" s="628">
        <v>118364</v>
      </c>
      <c r="I23" s="416">
        <f>69342+20028</f>
        <v>89370</v>
      </c>
      <c r="J23" s="417">
        <v>13326</v>
      </c>
      <c r="K23" s="412">
        <v>114552</v>
      </c>
      <c r="L23" s="37">
        <f>30695+56503</f>
        <v>87198</v>
      </c>
      <c r="M23" s="106">
        <v>11613</v>
      </c>
      <c r="N23" s="419">
        <f t="shared" si="10"/>
        <v>0.23879111669809344</v>
      </c>
      <c r="O23" s="67" t="str">
        <f t="shared" si="11"/>
        <v/>
      </c>
      <c r="P23" s="67">
        <f t="shared" si="12"/>
        <v>1.3302803786004032</v>
      </c>
      <c r="Q23" s="67">
        <f t="shared" si="13"/>
        <v>1.3244265413449703</v>
      </c>
      <c r="R23" s="67">
        <f t="shared" si="14"/>
        <v>1.3136998555012729</v>
      </c>
      <c r="S23" s="623" t="str">
        <f t="shared" si="5"/>
        <v/>
      </c>
      <c r="T23" s="122">
        <f t="shared" si="6"/>
        <v>13462</v>
      </c>
      <c r="U23" s="122">
        <f t="shared" si="7"/>
        <v>15668</v>
      </c>
      <c r="V23" s="126">
        <f t="shared" si="8"/>
        <v>15741</v>
      </c>
      <c r="W23" s="118" t="str">
        <f t="shared" si="0"/>
        <v/>
      </c>
      <c r="X23" s="118">
        <f t="shared" si="1"/>
        <v>1.1717223256881903</v>
      </c>
      <c r="Y23" s="118">
        <f t="shared" si="2"/>
        <v>1.1753161016000895</v>
      </c>
      <c r="Z23" s="133">
        <f t="shared" si="3"/>
        <v>1.1805201954173261</v>
      </c>
      <c r="AA23" s="624">
        <f t="shared" si="4"/>
        <v>1.3228022584822154</v>
      </c>
      <c r="AB23" s="39">
        <f t="shared" si="9"/>
        <v>1.1758528742352021</v>
      </c>
      <c r="AC23" s="314" t="s">
        <v>675</v>
      </c>
      <c r="AD23" s="625">
        <v>40185</v>
      </c>
      <c r="AE23" s="40" t="s">
        <v>584</v>
      </c>
      <c r="AF23" s="626" t="s">
        <v>425</v>
      </c>
      <c r="AG23" s="627" t="s">
        <v>426</v>
      </c>
      <c r="AH23" s="36"/>
    </row>
    <row r="24" spans="1:34">
      <c r="A24" s="98" t="s">
        <v>487</v>
      </c>
      <c r="B24" s="414"/>
      <c r="C24" s="414"/>
      <c r="D24" s="414"/>
      <c r="E24" s="621">
        <v>10247903</v>
      </c>
      <c r="F24" s="414">
        <v>8088371</v>
      </c>
      <c r="G24" s="415">
        <v>1977020</v>
      </c>
      <c r="H24" s="621">
        <v>11226735</v>
      </c>
      <c r="I24" s="414">
        <v>8777657</v>
      </c>
      <c r="J24" s="415">
        <v>2103562</v>
      </c>
      <c r="K24" s="621">
        <v>10000369</v>
      </c>
      <c r="L24" s="414">
        <v>7816180</v>
      </c>
      <c r="M24" s="415">
        <v>2057043</v>
      </c>
      <c r="N24" s="419">
        <f t="shared" si="10"/>
        <v>0.2184108406399804</v>
      </c>
      <c r="O24" s="67" t="str">
        <f t="shared" si="11"/>
        <v/>
      </c>
      <c r="P24" s="67">
        <f t="shared" si="12"/>
        <v>1.2669922039926209</v>
      </c>
      <c r="Q24" s="67">
        <f t="shared" si="13"/>
        <v>1.2790127251497752</v>
      </c>
      <c r="R24" s="67">
        <f t="shared" si="14"/>
        <v>1.2794445624333115</v>
      </c>
      <c r="S24" s="623" t="str">
        <f t="shared" si="5"/>
        <v/>
      </c>
      <c r="T24" s="122">
        <f t="shared" si="6"/>
        <v>182512</v>
      </c>
      <c r="U24" s="122">
        <f t="shared" si="7"/>
        <v>345516</v>
      </c>
      <c r="V24" s="126">
        <f t="shared" si="8"/>
        <v>127146</v>
      </c>
      <c r="W24" s="118" t="str">
        <f t="shared" si="0"/>
        <v/>
      </c>
      <c r="X24" s="118">
        <f t="shared" si="1"/>
        <v>1.0225647414046661</v>
      </c>
      <c r="Y24" s="118">
        <f t="shared" si="2"/>
        <v>1.0393631238951351</v>
      </c>
      <c r="Z24" s="133">
        <f t="shared" si="3"/>
        <v>1.0162670255802706</v>
      </c>
      <c r="AA24" s="624">
        <f t="shared" si="4"/>
        <v>1.2751498305252358</v>
      </c>
      <c r="AB24" s="39">
        <f t="shared" si="9"/>
        <v>1.0260649636266905</v>
      </c>
      <c r="AC24" s="314" t="s">
        <v>676</v>
      </c>
      <c r="AD24" s="625">
        <v>40186</v>
      </c>
      <c r="AE24" s="40" t="s">
        <v>583</v>
      </c>
      <c r="AF24" s="626" t="s">
        <v>425</v>
      </c>
      <c r="AG24" s="627" t="s">
        <v>426</v>
      </c>
      <c r="AH24" s="36"/>
    </row>
    <row r="25" spans="1:34">
      <c r="A25" s="98" t="s">
        <v>488</v>
      </c>
      <c r="B25" s="416">
        <v>31367</v>
      </c>
      <c r="C25" s="416">
        <f>19649+4447</f>
        <v>24096</v>
      </c>
      <c r="D25" s="416">
        <v>4210</v>
      </c>
      <c r="E25" s="628">
        <v>34589</v>
      </c>
      <c r="F25" s="416">
        <v>26300</v>
      </c>
      <c r="G25" s="417">
        <v>4565</v>
      </c>
      <c r="H25" s="628">
        <v>36556</v>
      </c>
      <c r="I25" s="416">
        <v>27994</v>
      </c>
      <c r="J25" s="417">
        <v>5033</v>
      </c>
      <c r="K25" s="418"/>
      <c r="L25" s="66"/>
      <c r="M25" s="105"/>
      <c r="N25" s="419">
        <f t="shared" si="10"/>
        <v>0.23421599737389212</v>
      </c>
      <c r="O25" s="67">
        <f t="shared" si="11"/>
        <v>1.3017513280212483</v>
      </c>
      <c r="P25" s="67">
        <f t="shared" si="12"/>
        <v>1.3151711026615969</v>
      </c>
      <c r="Q25" s="67">
        <f t="shared" si="13"/>
        <v>1.3058512538401086</v>
      </c>
      <c r="R25" s="67" t="str">
        <f t="shared" si="14"/>
        <v/>
      </c>
      <c r="S25" s="623">
        <f t="shared" si="5"/>
        <v>3061</v>
      </c>
      <c r="T25" s="122">
        <f t="shared" si="6"/>
        <v>3724</v>
      </c>
      <c r="U25" s="122">
        <f t="shared" si="7"/>
        <v>3529</v>
      </c>
      <c r="V25" s="126" t="str">
        <f t="shared" si="8"/>
        <v/>
      </c>
      <c r="W25" s="118">
        <f t="shared" si="0"/>
        <v>1.1270335325365206</v>
      </c>
      <c r="X25" s="118">
        <f t="shared" si="1"/>
        <v>1.141596958174905</v>
      </c>
      <c r="Y25" s="118">
        <f t="shared" si="2"/>
        <v>1.12606272772737</v>
      </c>
      <c r="Z25" s="133" t="str">
        <f t="shared" si="3"/>
        <v/>
      </c>
      <c r="AA25" s="624">
        <f t="shared" si="4"/>
        <v>1.3075912281743178</v>
      </c>
      <c r="AB25" s="39">
        <f t="shared" si="9"/>
        <v>1.1315644061462653</v>
      </c>
      <c r="AC25" s="314" t="s">
        <v>677</v>
      </c>
      <c r="AD25" s="625">
        <v>40200</v>
      </c>
      <c r="AE25" s="41" t="s">
        <v>489</v>
      </c>
      <c r="AF25" s="626" t="s">
        <v>425</v>
      </c>
      <c r="AG25" s="627" t="s">
        <v>426</v>
      </c>
      <c r="AH25" s="36"/>
    </row>
    <row r="26" spans="1:34">
      <c r="A26" s="98" t="s">
        <v>490</v>
      </c>
      <c r="B26" s="416"/>
      <c r="C26" s="416"/>
      <c r="D26" s="416"/>
      <c r="E26" s="628"/>
      <c r="F26" s="416"/>
      <c r="G26" s="417"/>
      <c r="H26" s="628">
        <v>9557.2999999999993</v>
      </c>
      <c r="I26" s="416">
        <v>6946.4</v>
      </c>
      <c r="J26" s="417">
        <v>1654.9</v>
      </c>
      <c r="K26" s="412">
        <v>9889.4</v>
      </c>
      <c r="L26" s="37">
        <v>7233.4</v>
      </c>
      <c r="M26" s="106">
        <v>2037.2</v>
      </c>
      <c r="N26" s="419">
        <f t="shared" si="10"/>
        <v>0.26857038849677434</v>
      </c>
      <c r="O26" s="67" t="str">
        <f t="shared" si="11"/>
        <v/>
      </c>
      <c r="P26" s="67" t="str">
        <f t="shared" si="12"/>
        <v/>
      </c>
      <c r="Q26" s="67">
        <f t="shared" si="13"/>
        <v>1.3758637567660947</v>
      </c>
      <c r="R26" s="67">
        <f t="shared" si="14"/>
        <v>1.367185555893494</v>
      </c>
      <c r="S26" s="623" t="str">
        <f t="shared" si="5"/>
        <v/>
      </c>
      <c r="T26" s="122" t="str">
        <f t="shared" si="6"/>
        <v/>
      </c>
      <c r="U26" s="122">
        <f t="shared" si="7"/>
        <v>955.99999999999955</v>
      </c>
      <c r="V26" s="126">
        <f t="shared" si="8"/>
        <v>618.79999999999995</v>
      </c>
      <c r="W26" s="118" t="str">
        <f t="shared" si="0"/>
        <v/>
      </c>
      <c r="X26" s="118" t="str">
        <f t="shared" si="1"/>
        <v/>
      </c>
      <c r="Y26" s="118">
        <f t="shared" si="2"/>
        <v>1.1376252447310837</v>
      </c>
      <c r="Z26" s="133">
        <f t="shared" si="3"/>
        <v>1.0855475986396439</v>
      </c>
      <c r="AA26" s="624">
        <f t="shared" si="4"/>
        <v>1.3715246563297945</v>
      </c>
      <c r="AB26" s="631">
        <f t="shared" si="9"/>
        <v>1.1115864216853639</v>
      </c>
      <c r="AC26" s="314" t="s">
        <v>678</v>
      </c>
      <c r="AD26" s="625">
        <v>40189</v>
      </c>
      <c r="AE26" s="40" t="s">
        <v>582</v>
      </c>
      <c r="AF26" s="626" t="s">
        <v>425</v>
      </c>
      <c r="AG26" s="420" t="s">
        <v>425</v>
      </c>
      <c r="AH26" s="36"/>
    </row>
    <row r="27" spans="1:34">
      <c r="A27" s="98" t="s">
        <v>491</v>
      </c>
      <c r="B27" s="416">
        <v>188.95500000000001</v>
      </c>
      <c r="C27" s="416">
        <v>119.22</v>
      </c>
      <c r="D27" s="416">
        <f>33.969+18.703</f>
        <v>52.671999999999997</v>
      </c>
      <c r="E27" s="628">
        <v>249.08099999999999</v>
      </c>
      <c r="F27" s="416">
        <v>166.494</v>
      </c>
      <c r="G27" s="417">
        <f>44.894+20.919</f>
        <v>65.813000000000002</v>
      </c>
      <c r="H27" s="628">
        <v>307621</v>
      </c>
      <c r="I27" s="416">
        <v>214150</v>
      </c>
      <c r="J27" s="417">
        <f>46.866+28.84</f>
        <v>75.706000000000003</v>
      </c>
      <c r="K27" s="418"/>
      <c r="L27" s="66"/>
      <c r="M27" s="105"/>
      <c r="N27" s="419">
        <f t="shared" si="10"/>
        <v>0.30385116750807001</v>
      </c>
      <c r="O27" s="67">
        <f t="shared" si="11"/>
        <v>1.5849270256668346</v>
      </c>
      <c r="P27" s="67">
        <f t="shared" si="12"/>
        <v>1.4960358931853399</v>
      </c>
      <c r="Q27" s="67">
        <f t="shared" si="13"/>
        <v>1.4364744338080784</v>
      </c>
      <c r="R27" s="67" t="str">
        <f t="shared" si="14"/>
        <v/>
      </c>
      <c r="S27" s="623">
        <f t="shared" si="5"/>
        <v>17.063000000000017</v>
      </c>
      <c r="T27" s="122">
        <f t="shared" si="6"/>
        <v>16.773999999999987</v>
      </c>
      <c r="U27" s="122">
        <f t="shared" si="7"/>
        <v>93395.293999999994</v>
      </c>
      <c r="V27" s="126" t="str">
        <f t="shared" si="8"/>
        <v/>
      </c>
      <c r="W27" s="118">
        <f t="shared" si="0"/>
        <v>1.1431219594027848</v>
      </c>
      <c r="X27" s="118">
        <f t="shared" si="1"/>
        <v>1.1007483753168281</v>
      </c>
      <c r="Y27" s="118">
        <f t="shared" si="2"/>
        <v>1.4361209152463226</v>
      </c>
      <c r="Z27" s="133" t="str">
        <f t="shared" si="3"/>
        <v/>
      </c>
      <c r="AA27" s="624">
        <f t="shared" si="4"/>
        <v>1.5058124508867508</v>
      </c>
      <c r="AB27" s="631">
        <f t="shared" si="9"/>
        <v>1.2266637499886452</v>
      </c>
      <c r="AC27" s="314" t="s">
        <v>679</v>
      </c>
      <c r="AD27" s="625">
        <v>40185</v>
      </c>
      <c r="AE27" s="40" t="s">
        <v>495</v>
      </c>
      <c r="AF27" s="626" t="s">
        <v>425</v>
      </c>
      <c r="AG27" s="627" t="s">
        <v>426</v>
      </c>
      <c r="AH27" s="36"/>
    </row>
    <row r="28" spans="1:34">
      <c r="A28" s="98" t="s">
        <v>492</v>
      </c>
      <c r="B28" s="414"/>
      <c r="C28" s="414"/>
      <c r="D28" s="414"/>
      <c r="E28" s="621"/>
      <c r="F28" s="414"/>
      <c r="G28" s="415"/>
      <c r="H28" s="621"/>
      <c r="I28" s="414"/>
      <c r="J28" s="415"/>
      <c r="K28" s="621">
        <v>309771</v>
      </c>
      <c r="L28" s="414">
        <v>216037</v>
      </c>
      <c r="M28" s="415">
        <v>93626</v>
      </c>
      <c r="N28" s="419">
        <f t="shared" si="10"/>
        <v>0.30259126903422207</v>
      </c>
      <c r="O28" s="67" t="str">
        <f t="shared" si="11"/>
        <v/>
      </c>
      <c r="P28" s="67" t="str">
        <f t="shared" si="12"/>
        <v/>
      </c>
      <c r="Q28" s="67" t="str">
        <f t="shared" si="13"/>
        <v/>
      </c>
      <c r="R28" s="67">
        <f t="shared" si="14"/>
        <v>1.4338793817725668</v>
      </c>
      <c r="S28" s="623" t="str">
        <f t="shared" si="5"/>
        <v/>
      </c>
      <c r="T28" s="122" t="str">
        <f t="shared" si="6"/>
        <v/>
      </c>
      <c r="U28" s="122" t="str">
        <f t="shared" si="7"/>
        <v/>
      </c>
      <c r="V28" s="126">
        <f t="shared" si="8"/>
        <v>108</v>
      </c>
      <c r="W28" s="118" t="str">
        <f t="shared" si="0"/>
        <v/>
      </c>
      <c r="X28" s="118" t="str">
        <f t="shared" si="1"/>
        <v/>
      </c>
      <c r="Y28" s="118" t="str">
        <f t="shared" si="2"/>
        <v/>
      </c>
      <c r="Z28" s="133">
        <f t="shared" si="3"/>
        <v>1.0004999143665205</v>
      </c>
      <c r="AA28" s="624">
        <f t="shared" si="4"/>
        <v>1.4338793817725668</v>
      </c>
      <c r="AB28" s="631">
        <f t="shared" si="9"/>
        <v>1.0004999143665205</v>
      </c>
      <c r="AC28" s="314" t="s">
        <v>680</v>
      </c>
      <c r="AD28" s="625">
        <v>40186</v>
      </c>
      <c r="AE28" s="40" t="s">
        <v>493</v>
      </c>
      <c r="AF28" s="626" t="s">
        <v>425</v>
      </c>
      <c r="AG28" s="627" t="s">
        <v>426</v>
      </c>
      <c r="AH28" s="36"/>
    </row>
    <row r="29" spans="1:34">
      <c r="A29" s="98" t="s">
        <v>494</v>
      </c>
      <c r="B29" s="416">
        <v>10568</v>
      </c>
      <c r="C29" s="416">
        <v>8122</v>
      </c>
      <c r="D29" s="416">
        <v>1969</v>
      </c>
      <c r="E29" s="628">
        <v>10301</v>
      </c>
      <c r="F29" s="416">
        <v>7757</v>
      </c>
      <c r="G29" s="417">
        <v>1778</v>
      </c>
      <c r="H29" s="628">
        <v>9416</v>
      </c>
      <c r="I29" s="416">
        <v>7247</v>
      </c>
      <c r="J29" s="417">
        <v>1583</v>
      </c>
      <c r="K29" s="418"/>
      <c r="L29" s="66"/>
      <c r="M29" s="105"/>
      <c r="N29" s="419">
        <f t="shared" si="10"/>
        <v>0.23035259133389974</v>
      </c>
      <c r="O29" s="67">
        <f t="shared" si="11"/>
        <v>1.3011573504063039</v>
      </c>
      <c r="P29" s="67">
        <f t="shared" si="12"/>
        <v>1.3279618409178806</v>
      </c>
      <c r="Q29" s="67">
        <f t="shared" si="13"/>
        <v>1.2992962605215952</v>
      </c>
      <c r="R29" s="67" t="str">
        <f t="shared" si="14"/>
        <v/>
      </c>
      <c r="S29" s="623">
        <f t="shared" si="5"/>
        <v>477</v>
      </c>
      <c r="T29" s="122">
        <f t="shared" si="6"/>
        <v>766</v>
      </c>
      <c r="U29" s="122">
        <f t="shared" si="7"/>
        <v>586</v>
      </c>
      <c r="V29" s="126" t="str">
        <f t="shared" si="8"/>
        <v/>
      </c>
      <c r="W29" s="118">
        <f t="shared" si="0"/>
        <v>1.0587293770007387</v>
      </c>
      <c r="X29" s="118">
        <f t="shared" si="1"/>
        <v>1.0987495165656826</v>
      </c>
      <c r="Y29" s="118">
        <f t="shared" si="2"/>
        <v>1.0808610459500483</v>
      </c>
      <c r="Z29" s="133" t="str">
        <f t="shared" si="3"/>
        <v/>
      </c>
      <c r="AA29" s="624">
        <f t="shared" si="4"/>
        <v>1.3094718172819266</v>
      </c>
      <c r="AB29" s="631">
        <f t="shared" si="9"/>
        <v>1.0794466465054897</v>
      </c>
      <c r="AC29" s="314" t="s">
        <v>681</v>
      </c>
      <c r="AD29" s="625">
        <v>40185</v>
      </c>
      <c r="AE29" s="40" t="s">
        <v>495</v>
      </c>
      <c r="AF29" s="626" t="s">
        <v>425</v>
      </c>
      <c r="AG29" s="627" t="s">
        <v>426</v>
      </c>
      <c r="AH29" s="36"/>
    </row>
    <row r="30" spans="1:34">
      <c r="A30" s="98" t="s">
        <v>496</v>
      </c>
      <c r="B30" s="416">
        <v>5108.1000000000004</v>
      </c>
      <c r="C30" s="416">
        <v>3462.1</v>
      </c>
      <c r="D30" s="416">
        <v>761.8</v>
      </c>
      <c r="E30" s="628">
        <v>4973.8999999999996</v>
      </c>
      <c r="F30" s="416">
        <v>3410.3</v>
      </c>
      <c r="G30" s="417">
        <v>812.8</v>
      </c>
      <c r="H30" s="628">
        <v>4528.3999999999996</v>
      </c>
      <c r="I30" s="416">
        <v>2993.8</v>
      </c>
      <c r="J30" s="417">
        <v>807.3</v>
      </c>
      <c r="K30" s="418"/>
      <c r="L30" s="66"/>
      <c r="M30" s="105"/>
      <c r="N30" s="419">
        <f t="shared" si="10"/>
        <v>0.33888349085769798</v>
      </c>
      <c r="O30" s="67">
        <f t="shared" si="11"/>
        <v>1.4754339851535196</v>
      </c>
      <c r="P30" s="67">
        <f t="shared" si="12"/>
        <v>1.4584933876785031</v>
      </c>
      <c r="Q30" s="67">
        <f t="shared" si="13"/>
        <v>1.5125926915625625</v>
      </c>
      <c r="R30" s="67" t="str">
        <f t="shared" si="14"/>
        <v/>
      </c>
      <c r="S30" s="623">
        <f t="shared" si="5"/>
        <v>884.2000000000005</v>
      </c>
      <c r="T30" s="122">
        <f t="shared" si="6"/>
        <v>750.7999999999995</v>
      </c>
      <c r="U30" s="122">
        <f t="shared" si="7"/>
        <v>727.2999999999995</v>
      </c>
      <c r="V30" s="126" t="str">
        <f t="shared" si="8"/>
        <v/>
      </c>
      <c r="W30" s="118">
        <f t="shared" si="0"/>
        <v>1.2553941249530634</v>
      </c>
      <c r="X30" s="118">
        <f t="shared" si="1"/>
        <v>1.2201565844647098</v>
      </c>
      <c r="Y30" s="118">
        <f t="shared" si="2"/>
        <v>1.2429353998263075</v>
      </c>
      <c r="Z30" s="133" t="str">
        <f t="shared" si="3"/>
        <v/>
      </c>
      <c r="AA30" s="624">
        <f t="shared" si="4"/>
        <v>1.482173354798195</v>
      </c>
      <c r="AB30" s="631">
        <f t="shared" si="9"/>
        <v>1.2394953697480269</v>
      </c>
      <c r="AC30" s="314" t="s">
        <v>682</v>
      </c>
      <c r="AD30" s="625">
        <v>40185</v>
      </c>
      <c r="AE30" s="40" t="s">
        <v>497</v>
      </c>
      <c r="AF30" s="626" t="s">
        <v>425</v>
      </c>
      <c r="AG30" s="627" t="s">
        <v>426</v>
      </c>
      <c r="AH30" s="36"/>
    </row>
    <row r="31" spans="1:34">
      <c r="A31" s="98" t="s">
        <v>498</v>
      </c>
      <c r="B31" s="414"/>
      <c r="C31" s="414"/>
      <c r="D31" s="414"/>
      <c r="E31" s="621">
        <v>53426741</v>
      </c>
      <c r="F31" s="414">
        <v>41351661</v>
      </c>
      <c r="G31" s="415">
        <v>9253647</v>
      </c>
      <c r="H31" s="621">
        <v>63280391</v>
      </c>
      <c r="I31" s="414">
        <v>47707085</v>
      </c>
      <c r="J31" s="415">
        <v>11519259</v>
      </c>
      <c r="K31" s="622"/>
      <c r="L31" s="68"/>
      <c r="M31" s="107"/>
      <c r="N31" s="419">
        <f t="shared" si="10"/>
        <v>0.24610002804818321</v>
      </c>
      <c r="O31" s="67" t="str">
        <f t="shared" si="11"/>
        <v/>
      </c>
      <c r="P31" s="67">
        <f>IF(H31="","",(H31/I31))</f>
        <v>1.326435916174715</v>
      </c>
      <c r="Q31" s="67">
        <f t="shared" si="13"/>
        <v>1.326435916174715</v>
      </c>
      <c r="R31" s="67" t="str">
        <f t="shared" si="14"/>
        <v/>
      </c>
      <c r="S31" s="623" t="str">
        <f t="shared" si="5"/>
        <v/>
      </c>
      <c r="T31" s="122">
        <f t="shared" si="6"/>
        <v>2821433</v>
      </c>
      <c r="U31" s="122">
        <f t="shared" si="7"/>
        <v>4054047</v>
      </c>
      <c r="V31" s="126" t="str">
        <f t="shared" si="8"/>
        <v/>
      </c>
      <c r="W31" s="118" t="str">
        <f t="shared" si="0"/>
        <v/>
      </c>
      <c r="X31" s="118">
        <f t="shared" si="1"/>
        <v>1.068230221755784</v>
      </c>
      <c r="Y31" s="118">
        <f t="shared" si="2"/>
        <v>1.0849778811679649</v>
      </c>
      <c r="Z31" s="133" t="str">
        <f t="shared" si="3"/>
        <v/>
      </c>
      <c r="AA31" s="624">
        <f t="shared" si="4"/>
        <v>1.326435916174715</v>
      </c>
      <c r="AB31" s="631">
        <f t="shared" si="9"/>
        <v>1.0766040514618744</v>
      </c>
      <c r="AC31" s="314" t="s">
        <v>683</v>
      </c>
      <c r="AD31" s="625">
        <v>40185</v>
      </c>
      <c r="AE31" s="40" t="s">
        <v>499</v>
      </c>
      <c r="AF31" s="626" t="s">
        <v>425</v>
      </c>
      <c r="AG31" s="627" t="s">
        <v>426</v>
      </c>
      <c r="AH31" s="36"/>
    </row>
    <row r="32" spans="1:34">
      <c r="A32" s="98" t="s">
        <v>500</v>
      </c>
      <c r="B32" s="416"/>
      <c r="C32" s="416"/>
      <c r="D32" s="416"/>
      <c r="E32" s="628">
        <v>2066.569</v>
      </c>
      <c r="F32" s="416">
        <v>1357.0440000000001</v>
      </c>
      <c r="G32" s="417">
        <f>272.264+98.143</f>
        <v>370.40700000000004</v>
      </c>
      <c r="H32" s="628">
        <v>2370.4960000000001</v>
      </c>
      <c r="I32" s="416">
        <v>1521.3779999999999</v>
      </c>
      <c r="J32" s="417">
        <f>324.451+113.443</f>
        <v>437.89400000000001</v>
      </c>
      <c r="K32" s="412">
        <v>2208.8319999999999</v>
      </c>
      <c r="L32" s="37">
        <v>1517.606</v>
      </c>
      <c r="M32" s="106">
        <f>319.167+113.103</f>
        <v>432.27</v>
      </c>
      <c r="N32" s="419">
        <f t="shared" si="10"/>
        <v>0.31293733520702338</v>
      </c>
      <c r="O32" s="67" t="str">
        <f t="shared" si="11"/>
        <v/>
      </c>
      <c r="P32" s="67">
        <f t="shared" si="12"/>
        <v>1.522845979938749</v>
      </c>
      <c r="Q32" s="67">
        <f t="shared" si="13"/>
        <v>1.558124279436143</v>
      </c>
      <c r="R32" s="67">
        <f t="shared" si="14"/>
        <v>1.4554713146890563</v>
      </c>
      <c r="S32" s="623" t="str">
        <f t="shared" si="5"/>
        <v/>
      </c>
      <c r="T32" s="122">
        <f t="shared" si="6"/>
        <v>339.11799999999982</v>
      </c>
      <c r="U32" s="122">
        <f t="shared" si="7"/>
        <v>411.22400000000016</v>
      </c>
      <c r="V32" s="126">
        <f t="shared" si="8"/>
        <v>258.9559999999999</v>
      </c>
      <c r="W32" s="118" t="str">
        <f t="shared" si="0"/>
        <v/>
      </c>
      <c r="X32" s="118">
        <f t="shared" si="1"/>
        <v>1.2498946239031306</v>
      </c>
      <c r="Y32" s="118">
        <f t="shared" si="2"/>
        <v>1.2702970596393535</v>
      </c>
      <c r="Z32" s="133">
        <f t="shared" si="3"/>
        <v>1.1706345388724082</v>
      </c>
      <c r="AA32" s="624">
        <f t="shared" si="4"/>
        <v>1.5121471913546494</v>
      </c>
      <c r="AB32" s="631">
        <f t="shared" si="9"/>
        <v>1.2302754074716307</v>
      </c>
      <c r="AC32" s="314" t="s">
        <v>684</v>
      </c>
      <c r="AD32" s="625">
        <v>40186</v>
      </c>
      <c r="AE32" s="40" t="s">
        <v>483</v>
      </c>
      <c r="AF32" s="626" t="s">
        <v>425</v>
      </c>
      <c r="AG32" s="627" t="s">
        <v>426</v>
      </c>
      <c r="AH32" s="36"/>
    </row>
    <row r="33" spans="1:34">
      <c r="A33" s="98" t="s">
        <v>501</v>
      </c>
      <c r="B33" s="416"/>
      <c r="C33" s="416"/>
      <c r="D33" s="416"/>
      <c r="E33" s="628">
        <v>46927</v>
      </c>
      <c r="F33" s="416">
        <v>30729</v>
      </c>
      <c r="G33" s="417">
        <v>9738</v>
      </c>
      <c r="H33" s="628">
        <v>48283</v>
      </c>
      <c r="I33" s="416">
        <v>31556</v>
      </c>
      <c r="J33" s="417">
        <v>10515</v>
      </c>
      <c r="K33" s="412">
        <v>48230</v>
      </c>
      <c r="L33" s="37">
        <v>31729</v>
      </c>
      <c r="M33" s="106">
        <v>11074</v>
      </c>
      <c r="N33" s="419">
        <f t="shared" si="10"/>
        <v>0.34213145345220819</v>
      </c>
      <c r="O33" s="67" t="str">
        <f t="shared" si="11"/>
        <v/>
      </c>
      <c r="P33" s="67">
        <f t="shared" si="12"/>
        <v>1.527124214910996</v>
      </c>
      <c r="Q33" s="67">
        <f t="shared" si="13"/>
        <v>1.5300735200912663</v>
      </c>
      <c r="R33" s="67">
        <f t="shared" si="14"/>
        <v>1.5200605124649373</v>
      </c>
      <c r="S33" s="623" t="str">
        <f t="shared" si="5"/>
        <v/>
      </c>
      <c r="T33" s="122">
        <f t="shared" si="6"/>
        <v>6460</v>
      </c>
      <c r="U33" s="122">
        <f t="shared" si="7"/>
        <v>6212</v>
      </c>
      <c r="V33" s="126">
        <f t="shared" si="8"/>
        <v>5427</v>
      </c>
      <c r="W33" s="118" t="str">
        <f t="shared" si="0"/>
        <v/>
      </c>
      <c r="X33" s="118">
        <f t="shared" si="1"/>
        <v>1.2102248690162387</v>
      </c>
      <c r="Y33" s="118">
        <f t="shared" si="2"/>
        <v>1.1968563823044747</v>
      </c>
      <c r="Z33" s="133">
        <f t="shared" si="3"/>
        <v>1.1710422641747298</v>
      </c>
      <c r="AA33" s="624">
        <f t="shared" si="4"/>
        <v>1.525752749155733</v>
      </c>
      <c r="AB33" s="631">
        <f t="shared" si="9"/>
        <v>1.1927078384984811</v>
      </c>
      <c r="AC33" s="314" t="s">
        <v>685</v>
      </c>
      <c r="AD33" s="625">
        <v>40185</v>
      </c>
      <c r="AE33" s="40" t="s">
        <v>502</v>
      </c>
      <c r="AF33" s="629" t="s">
        <v>426</v>
      </c>
      <c r="AG33" s="420" t="s">
        <v>425</v>
      </c>
      <c r="AH33" s="36"/>
    </row>
    <row r="34" spans="1:34">
      <c r="A34" s="100" t="s">
        <v>503</v>
      </c>
      <c r="B34" s="414">
        <v>229075</v>
      </c>
      <c r="C34" s="414">
        <v>132897</v>
      </c>
      <c r="D34" s="414">
        <v>58726</v>
      </c>
      <c r="E34" s="621">
        <v>279933</v>
      </c>
      <c r="F34" s="414">
        <v>163909</v>
      </c>
      <c r="G34" s="415">
        <v>66802</v>
      </c>
      <c r="H34" s="621">
        <v>342577</v>
      </c>
      <c r="I34" s="414">
        <v>199220</v>
      </c>
      <c r="J34" s="415">
        <v>76198</v>
      </c>
      <c r="K34" s="622"/>
      <c r="L34" s="68"/>
      <c r="M34" s="107"/>
      <c r="N34" s="419">
        <f t="shared" si="10"/>
        <v>0.41846650534040525</v>
      </c>
      <c r="O34" s="67">
        <f t="shared" si="11"/>
        <v>1.7237033191117934</v>
      </c>
      <c r="P34" s="67">
        <f t="shared" si="12"/>
        <v>1.7078561884948356</v>
      </c>
      <c r="Q34" s="67">
        <f t="shared" si="13"/>
        <v>1.7195914064852926</v>
      </c>
      <c r="R34" s="67" t="str">
        <f t="shared" si="14"/>
        <v/>
      </c>
      <c r="S34" s="623">
        <f t="shared" si="5"/>
        <v>37452</v>
      </c>
      <c r="T34" s="122">
        <f t="shared" si="6"/>
        <v>49222</v>
      </c>
      <c r="U34" s="122">
        <f t="shared" si="7"/>
        <v>67159</v>
      </c>
      <c r="V34" s="126" t="str">
        <f t="shared" si="8"/>
        <v/>
      </c>
      <c r="W34" s="118">
        <f t="shared" si="0"/>
        <v>1.2818122305243911</v>
      </c>
      <c r="X34" s="118">
        <f t="shared" si="1"/>
        <v>1.3003007766504586</v>
      </c>
      <c r="Y34" s="118">
        <f t="shared" si="2"/>
        <v>1.3371097279389619</v>
      </c>
      <c r="Z34" s="133" t="str">
        <f t="shared" si="3"/>
        <v/>
      </c>
      <c r="AA34" s="624">
        <f t="shared" si="4"/>
        <v>1.7170503046973071</v>
      </c>
      <c r="AB34" s="631">
        <f t="shared" si="9"/>
        <v>1.3064075783712705</v>
      </c>
      <c r="AC34" s="314" t="s">
        <v>686</v>
      </c>
      <c r="AD34" s="42">
        <v>40198</v>
      </c>
      <c r="AE34" s="41" t="s">
        <v>504</v>
      </c>
      <c r="AF34" s="626" t="s">
        <v>425</v>
      </c>
      <c r="AG34" s="627" t="s">
        <v>426</v>
      </c>
      <c r="AH34" s="36"/>
    </row>
    <row r="35" spans="1:34">
      <c r="A35" s="98" t="s">
        <v>505</v>
      </c>
      <c r="B35" s="416">
        <v>5650.1559999999999</v>
      </c>
      <c r="C35" s="416">
        <v>3038.3629999999998</v>
      </c>
      <c r="D35" s="416">
        <v>1232</v>
      </c>
      <c r="E35" s="628">
        <v>5970.09</v>
      </c>
      <c r="F35" s="416">
        <v>3192.79</v>
      </c>
      <c r="G35" s="417">
        <v>1338.454</v>
      </c>
      <c r="H35" s="628">
        <v>5918.0020000000004</v>
      </c>
      <c r="I35" s="416">
        <v>3233.596</v>
      </c>
      <c r="J35" s="417">
        <v>1423.4549999999999</v>
      </c>
      <c r="K35" s="418"/>
      <c r="L35" s="66"/>
      <c r="M35" s="105"/>
      <c r="N35" s="419">
        <f t="shared" si="10"/>
        <v>0.45360004947615767</v>
      </c>
      <c r="O35" s="67">
        <f t="shared" si="11"/>
        <v>1.8596053203649465</v>
      </c>
      <c r="P35" s="67">
        <f t="shared" si="12"/>
        <v>1.8698661672079906</v>
      </c>
      <c r="Q35" s="67">
        <f t="shared" si="13"/>
        <v>1.8301612198926522</v>
      </c>
      <c r="R35" s="67" t="str">
        <f t="shared" si="14"/>
        <v/>
      </c>
      <c r="S35" s="623">
        <f t="shared" si="5"/>
        <v>1379.7930000000001</v>
      </c>
      <c r="T35" s="122">
        <f t="shared" si="6"/>
        <v>1438.8460000000002</v>
      </c>
      <c r="U35" s="122">
        <f t="shared" si="7"/>
        <v>1260.9510000000005</v>
      </c>
      <c r="V35" s="126" t="str">
        <f t="shared" si="8"/>
        <v/>
      </c>
      <c r="W35" s="118">
        <f t="shared" si="0"/>
        <v>1.4541238160154004</v>
      </c>
      <c r="X35" s="118">
        <f t="shared" si="1"/>
        <v>1.4506547564982353</v>
      </c>
      <c r="Y35" s="118">
        <f t="shared" si="2"/>
        <v>1.3899531666912008</v>
      </c>
      <c r="Z35" s="133" t="str">
        <f t="shared" si="3"/>
        <v/>
      </c>
      <c r="AA35" s="624">
        <f t="shared" si="4"/>
        <v>1.8532109024885297</v>
      </c>
      <c r="AB35" s="631">
        <f t="shared" si="9"/>
        <v>1.4315772464016121</v>
      </c>
      <c r="AC35" s="314" t="s">
        <v>687</v>
      </c>
      <c r="AD35" s="625">
        <v>40189</v>
      </c>
      <c r="AE35" s="40" t="s">
        <v>506</v>
      </c>
      <c r="AF35" s="626" t="s">
        <v>425</v>
      </c>
      <c r="AG35" s="627" t="s">
        <v>426</v>
      </c>
      <c r="AH35" s="36"/>
    </row>
    <row r="36" spans="1:34">
      <c r="A36" s="98" t="s">
        <v>507</v>
      </c>
      <c r="B36" s="416">
        <v>42847</v>
      </c>
      <c r="C36" s="416">
        <v>30120</v>
      </c>
      <c r="D36" s="416">
        <v>4504</v>
      </c>
      <c r="E36" s="628">
        <v>36622</v>
      </c>
      <c r="F36" s="416">
        <v>26670</v>
      </c>
      <c r="G36" s="417">
        <v>5092</v>
      </c>
      <c r="H36" s="628">
        <v>30146</v>
      </c>
      <c r="I36" s="416">
        <v>21751</v>
      </c>
      <c r="J36" s="417">
        <v>4330</v>
      </c>
      <c r="K36" s="418"/>
      <c r="L36" s="66"/>
      <c r="M36" s="105"/>
      <c r="N36" s="419">
        <f t="shared" si="10"/>
        <v>0.27847807337623565</v>
      </c>
      <c r="O36" s="67">
        <f t="shared" si="11"/>
        <v>1.422543160690571</v>
      </c>
      <c r="P36" s="67">
        <f t="shared" si="12"/>
        <v>1.3731533558305211</v>
      </c>
      <c r="Q36" s="67">
        <f t="shared" si="13"/>
        <v>1.3859592662406326</v>
      </c>
      <c r="R36" s="67" t="str">
        <f t="shared" si="14"/>
        <v/>
      </c>
      <c r="S36" s="623">
        <f t="shared" si="5"/>
        <v>8223</v>
      </c>
      <c r="T36" s="122">
        <f t="shared" si="6"/>
        <v>4860</v>
      </c>
      <c r="U36" s="122">
        <f t="shared" si="7"/>
        <v>4065</v>
      </c>
      <c r="V36" s="126" t="str">
        <f t="shared" si="8"/>
        <v/>
      </c>
      <c r="W36" s="118">
        <f t="shared" si="0"/>
        <v>1.27300796812749</v>
      </c>
      <c r="X36" s="118">
        <f t="shared" si="1"/>
        <v>1.1822272215973004</v>
      </c>
      <c r="Y36" s="118">
        <f t="shared" si="2"/>
        <v>1.1868879591742909</v>
      </c>
      <c r="Z36" s="133" t="str">
        <f t="shared" si="3"/>
        <v/>
      </c>
      <c r="AA36" s="624">
        <f t="shared" si="4"/>
        <v>1.393885260920575</v>
      </c>
      <c r="AB36" s="631">
        <f t="shared" si="9"/>
        <v>1.2140410496330272</v>
      </c>
      <c r="AC36" s="314" t="s">
        <v>688</v>
      </c>
      <c r="AD36" s="625">
        <v>40185</v>
      </c>
      <c r="AE36" s="40" t="s">
        <v>508</v>
      </c>
      <c r="AF36" s="626" t="s">
        <v>425</v>
      </c>
      <c r="AG36" s="627" t="s">
        <v>426</v>
      </c>
      <c r="AH36" s="36"/>
    </row>
    <row r="37" spans="1:34">
      <c r="A37" s="98" t="s">
        <v>509</v>
      </c>
      <c r="B37" s="416">
        <v>69.548000000000002</v>
      </c>
      <c r="C37" s="416">
        <f>69.548-26.956</f>
        <v>42.591999999999999</v>
      </c>
      <c r="D37" s="416"/>
      <c r="E37" s="628">
        <v>66.201999999999998</v>
      </c>
      <c r="F37" s="416">
        <f>66.202-23.998</f>
        <v>42.203999999999994</v>
      </c>
      <c r="G37" s="417"/>
      <c r="H37" s="628">
        <v>68.367000000000004</v>
      </c>
      <c r="I37" s="416">
        <f>68.367-20.412</f>
        <v>47.955000000000005</v>
      </c>
      <c r="J37" s="417">
        <v>17.274999999999999</v>
      </c>
      <c r="K37" s="412">
        <v>69.569999999999993</v>
      </c>
      <c r="L37" s="37">
        <v>53.36</v>
      </c>
      <c r="M37" s="106">
        <v>20.163</v>
      </c>
      <c r="N37" s="419">
        <f t="shared" si="10"/>
        <v>0.2330027310622394</v>
      </c>
      <c r="O37" s="67">
        <f t="shared" si="11"/>
        <v>1.6328888054094666</v>
      </c>
      <c r="P37" s="67">
        <f t="shared" si="12"/>
        <v>1.5686190882380819</v>
      </c>
      <c r="Q37" s="67">
        <f t="shared" si="13"/>
        <v>1.4256490459806068</v>
      </c>
      <c r="R37" s="67">
        <f t="shared" si="14"/>
        <v>1.3037856071964016</v>
      </c>
      <c r="S37" s="623" t="str">
        <f t="shared" si="5"/>
        <v/>
      </c>
      <c r="T37" s="122" t="str">
        <f t="shared" si="6"/>
        <v/>
      </c>
      <c r="U37" s="122">
        <f t="shared" si="7"/>
        <v>3.1370000000000005</v>
      </c>
      <c r="V37" s="126">
        <f t="shared" si="8"/>
        <v>-3.9530000000000065</v>
      </c>
      <c r="W37" s="118" t="str">
        <f t="shared" si="0"/>
        <v/>
      </c>
      <c r="X37" s="118" t="str">
        <f t="shared" si="1"/>
        <v/>
      </c>
      <c r="Y37" s="118">
        <f t="shared" si="2"/>
        <v>1.0654154936920028</v>
      </c>
      <c r="Z37" s="133">
        <f t="shared" si="3"/>
        <v>0.92591829085457256</v>
      </c>
      <c r="AA37" s="624">
        <f t="shared" si="4"/>
        <v>1.4827356367061393</v>
      </c>
      <c r="AB37" s="631">
        <f t="shared" si="9"/>
        <v>0.99566689227328764</v>
      </c>
      <c r="AC37" s="314" t="s">
        <v>689</v>
      </c>
      <c r="AD37" s="625">
        <v>40200</v>
      </c>
      <c r="AE37" s="41" t="s">
        <v>510</v>
      </c>
      <c r="AF37" s="626" t="s">
        <v>425</v>
      </c>
      <c r="AG37" s="627" t="s">
        <v>426</v>
      </c>
      <c r="AH37" s="36"/>
    </row>
    <row r="38" spans="1:34">
      <c r="A38" s="98" t="s">
        <v>511</v>
      </c>
      <c r="B38" s="416">
        <v>573.57000000000005</v>
      </c>
      <c r="C38" s="416">
        <v>379.911</v>
      </c>
      <c r="D38" s="416">
        <f>91.881+20.905</f>
        <v>112.786</v>
      </c>
      <c r="E38" s="628">
        <v>727.78700000000003</v>
      </c>
      <c r="F38" s="416">
        <v>485.18</v>
      </c>
      <c r="G38" s="417">
        <f>117.938+27.22</f>
        <v>145.15800000000002</v>
      </c>
      <c r="H38" s="628">
        <v>743.34400000000005</v>
      </c>
      <c r="I38" s="416">
        <v>502.32</v>
      </c>
      <c r="J38" s="417">
        <f>121.687+31.733</f>
        <v>153.41999999999999</v>
      </c>
      <c r="K38" s="418"/>
      <c r="L38" s="66"/>
      <c r="M38" s="105"/>
      <c r="N38" s="419">
        <f t="shared" si="10"/>
        <v>0.32424288081964747</v>
      </c>
      <c r="O38" s="67">
        <f t="shared" si="11"/>
        <v>1.5097483357944361</v>
      </c>
      <c r="P38" s="67">
        <f t="shared" si="12"/>
        <v>1.5000350385423966</v>
      </c>
      <c r="Q38" s="67">
        <f t="shared" si="13"/>
        <v>1.4798216276477147</v>
      </c>
      <c r="R38" s="67" t="str">
        <f t="shared" si="14"/>
        <v/>
      </c>
      <c r="S38" s="623">
        <f t="shared" si="5"/>
        <v>80.873000000000047</v>
      </c>
      <c r="T38" s="122">
        <f t="shared" si="6"/>
        <v>97.449000000000012</v>
      </c>
      <c r="U38" s="122">
        <f t="shared" si="7"/>
        <v>87.60400000000007</v>
      </c>
      <c r="V38" s="126" t="str">
        <f t="shared" si="8"/>
        <v/>
      </c>
      <c r="W38" s="118">
        <f t="shared" si="0"/>
        <v>1.2128735414347045</v>
      </c>
      <c r="X38" s="118">
        <f t="shared" si="1"/>
        <v>1.2008512304711654</v>
      </c>
      <c r="Y38" s="118">
        <f t="shared" si="2"/>
        <v>1.1743987896161809</v>
      </c>
      <c r="Z38" s="133" t="str">
        <f t="shared" si="3"/>
        <v/>
      </c>
      <c r="AA38" s="624">
        <f t="shared" si="4"/>
        <v>1.4965350006615159</v>
      </c>
      <c r="AB38" s="631">
        <f t="shared" si="9"/>
        <v>1.1960411871740171</v>
      </c>
      <c r="AC38" s="314" t="s">
        <v>690</v>
      </c>
      <c r="AD38" s="625">
        <v>40185</v>
      </c>
      <c r="AE38" s="40" t="s">
        <v>512</v>
      </c>
      <c r="AF38" s="626" t="s">
        <v>425</v>
      </c>
      <c r="AG38" s="627" t="s">
        <v>426</v>
      </c>
      <c r="AH38" s="36"/>
    </row>
    <row r="39" spans="1:34">
      <c r="A39" s="98" t="s">
        <v>513</v>
      </c>
      <c r="B39" s="414"/>
      <c r="C39" s="414"/>
      <c r="D39" s="414"/>
      <c r="E39" s="621"/>
      <c r="F39" s="414"/>
      <c r="G39" s="415"/>
      <c r="H39" s="621">
        <v>955792</v>
      </c>
      <c r="I39" s="414">
        <v>551551</v>
      </c>
      <c r="J39" s="415">
        <v>269072</v>
      </c>
      <c r="K39" s="621">
        <v>879719</v>
      </c>
      <c r="L39" s="414">
        <v>561642</v>
      </c>
      <c r="M39" s="415">
        <v>269892</v>
      </c>
      <c r="N39" s="419">
        <f t="shared" si="10"/>
        <v>0.36156659115012862</v>
      </c>
      <c r="O39" s="67" t="str">
        <f t="shared" si="11"/>
        <v/>
      </c>
      <c r="P39" s="67" t="str">
        <f t="shared" si="12"/>
        <v/>
      </c>
      <c r="Q39" s="67">
        <f t="shared" si="13"/>
        <v>1.7329168109567383</v>
      </c>
      <c r="R39" s="67">
        <f t="shared" si="14"/>
        <v>1.5663340704576938</v>
      </c>
      <c r="S39" s="623" t="str">
        <f t="shared" si="5"/>
        <v/>
      </c>
      <c r="T39" s="122" t="str">
        <f t="shared" si="6"/>
        <v/>
      </c>
      <c r="U39" s="122">
        <f t="shared" si="7"/>
        <v>135169</v>
      </c>
      <c r="V39" s="126">
        <f t="shared" si="8"/>
        <v>48185</v>
      </c>
      <c r="W39" s="118" t="str">
        <f t="shared" si="0"/>
        <v/>
      </c>
      <c r="X39" s="118" t="str">
        <f t="shared" si="1"/>
        <v/>
      </c>
      <c r="Y39" s="118">
        <f t="shared" si="2"/>
        <v>1.2450707187549293</v>
      </c>
      <c r="Z39" s="133">
        <f t="shared" si="3"/>
        <v>1.0857930852749615</v>
      </c>
      <c r="AA39" s="624">
        <f t="shared" si="4"/>
        <v>1.649625440707216</v>
      </c>
      <c r="AB39" s="631">
        <f t="shared" si="9"/>
        <v>1.1654319020149453</v>
      </c>
      <c r="AC39" s="314" t="s">
        <v>691</v>
      </c>
      <c r="AD39" s="625">
        <v>40186</v>
      </c>
      <c r="AE39" s="40" t="s">
        <v>514</v>
      </c>
      <c r="AF39" s="626" t="s">
        <v>425</v>
      </c>
      <c r="AG39" s="627" t="s">
        <v>426</v>
      </c>
      <c r="AH39" s="36"/>
    </row>
    <row r="40" spans="1:34">
      <c r="A40" s="98" t="s">
        <v>515</v>
      </c>
      <c r="B40" s="414"/>
      <c r="C40" s="414"/>
      <c r="D40" s="414"/>
      <c r="E40" s="621">
        <v>966534</v>
      </c>
      <c r="F40" s="414">
        <v>568722</v>
      </c>
      <c r="G40" s="415">
        <v>171787</v>
      </c>
      <c r="H40" s="621">
        <v>1672423</v>
      </c>
      <c r="I40" s="414">
        <v>972362</v>
      </c>
      <c r="J40" s="415">
        <v>212840</v>
      </c>
      <c r="K40" s="622"/>
      <c r="L40" s="68"/>
      <c r="M40" s="107"/>
      <c r="N40" s="419">
        <f t="shared" si="10"/>
        <v>0.41859087085025737</v>
      </c>
      <c r="O40" s="67" t="str">
        <f t="shared" si="11"/>
        <v/>
      </c>
      <c r="P40" s="67">
        <f t="shared" si="12"/>
        <v>1.6994841064702966</v>
      </c>
      <c r="Q40" s="67">
        <f t="shared" si="13"/>
        <v>1.7199592332896596</v>
      </c>
      <c r="R40" s="67" t="str">
        <f t="shared" si="14"/>
        <v/>
      </c>
      <c r="S40" s="623" t="str">
        <f t="shared" si="5"/>
        <v/>
      </c>
      <c r="T40" s="122">
        <f t="shared" si="6"/>
        <v>226025</v>
      </c>
      <c r="U40" s="122">
        <f t="shared" si="7"/>
        <v>487221</v>
      </c>
      <c r="V40" s="126" t="str">
        <f t="shared" si="8"/>
        <v/>
      </c>
      <c r="W40" s="118" t="str">
        <f t="shared" si="0"/>
        <v/>
      </c>
      <c r="X40" s="118">
        <f t="shared" si="1"/>
        <v>1.3974261590021135</v>
      </c>
      <c r="Y40" s="118">
        <f t="shared" si="2"/>
        <v>1.5010695605134714</v>
      </c>
      <c r="Z40" s="133" t="str">
        <f t="shared" si="3"/>
        <v/>
      </c>
      <c r="AA40" s="624">
        <f t="shared" si="4"/>
        <v>1.7097216698799782</v>
      </c>
      <c r="AB40" s="631">
        <f t="shared" si="9"/>
        <v>1.4492478597577925</v>
      </c>
      <c r="AC40" s="314" t="s">
        <v>692</v>
      </c>
      <c r="AD40" s="625">
        <v>40185</v>
      </c>
      <c r="AE40" s="40" t="s">
        <v>518</v>
      </c>
      <c r="AF40" s="626" t="s">
        <v>425</v>
      </c>
      <c r="AG40" s="627" t="s">
        <v>426</v>
      </c>
      <c r="AH40" s="36"/>
    </row>
    <row r="41" spans="1:34">
      <c r="A41" s="98" t="s">
        <v>519</v>
      </c>
      <c r="B41" s="414">
        <v>41121</v>
      </c>
      <c r="C41" s="414">
        <v>27742</v>
      </c>
      <c r="D41" s="414">
        <f>3314+666</f>
        <v>3980</v>
      </c>
      <c r="E41" s="621">
        <v>51058</v>
      </c>
      <c r="F41" s="414">
        <v>33781</v>
      </c>
      <c r="G41" s="415">
        <f>4379+1165</f>
        <v>5544</v>
      </c>
      <c r="H41" s="621">
        <v>50710</v>
      </c>
      <c r="I41" s="414">
        <v>33337</v>
      </c>
      <c r="J41" s="415">
        <f>4380+1284</f>
        <v>5664</v>
      </c>
      <c r="K41" s="622"/>
      <c r="L41" s="68"/>
      <c r="M41" s="107"/>
      <c r="N41" s="419">
        <f t="shared" si="10"/>
        <v>0.34259514888582132</v>
      </c>
      <c r="O41" s="67">
        <f t="shared" si="11"/>
        <v>1.4822651575228896</v>
      </c>
      <c r="P41" s="67">
        <f t="shared" si="12"/>
        <v>1.511441342766644</v>
      </c>
      <c r="Q41" s="67">
        <f t="shared" si="13"/>
        <v>1.5211326754057053</v>
      </c>
      <c r="R41" s="67" t="str">
        <f t="shared" si="14"/>
        <v/>
      </c>
      <c r="S41" s="623">
        <f t="shared" si="5"/>
        <v>9399</v>
      </c>
      <c r="T41" s="122">
        <f t="shared" si="6"/>
        <v>11733</v>
      </c>
      <c r="U41" s="122">
        <f t="shared" si="7"/>
        <v>11709</v>
      </c>
      <c r="V41" s="126" t="str">
        <f t="shared" si="8"/>
        <v/>
      </c>
      <c r="W41" s="118">
        <f t="shared" si="0"/>
        <v>1.3388003748828492</v>
      </c>
      <c r="X41" s="118">
        <f t="shared" si="1"/>
        <v>1.3473254196145763</v>
      </c>
      <c r="Y41" s="118">
        <f t="shared" si="2"/>
        <v>1.3512313645498994</v>
      </c>
      <c r="Z41" s="133" t="str">
        <f t="shared" si="3"/>
        <v/>
      </c>
      <c r="AA41" s="624">
        <f t="shared" si="4"/>
        <v>1.5049463918984129</v>
      </c>
      <c r="AB41" s="631">
        <f t="shared" si="9"/>
        <v>1.3457857196824417</v>
      </c>
      <c r="AC41" s="314" t="s">
        <v>693</v>
      </c>
      <c r="AD41" s="625">
        <v>40185</v>
      </c>
      <c r="AE41" s="40" t="s">
        <v>520</v>
      </c>
      <c r="AF41" s="626" t="s">
        <v>425</v>
      </c>
      <c r="AG41" s="627" t="s">
        <v>426</v>
      </c>
      <c r="AH41" s="36"/>
    </row>
    <row r="42" spans="1:34">
      <c r="A42" s="98" t="s">
        <v>521</v>
      </c>
      <c r="B42" s="416"/>
      <c r="C42" s="416"/>
      <c r="D42" s="416"/>
      <c r="E42" s="628"/>
      <c r="F42" s="416"/>
      <c r="G42" s="417"/>
      <c r="H42" s="628">
        <v>114.863</v>
      </c>
      <c r="I42" s="416">
        <v>101.822</v>
      </c>
      <c r="J42" s="417">
        <v>8.0459999999999994</v>
      </c>
      <c r="K42" s="412">
        <v>111.59</v>
      </c>
      <c r="L42" s="37">
        <v>95.18</v>
      </c>
      <c r="M42" s="106">
        <v>7.7270000000000003</v>
      </c>
      <c r="N42" s="419">
        <f t="shared" si="10"/>
        <v>0.14705618783045071</v>
      </c>
      <c r="O42" s="67" t="str">
        <f t="shared" si="11"/>
        <v/>
      </c>
      <c r="P42" s="67" t="str">
        <f t="shared" si="12"/>
        <v/>
      </c>
      <c r="Q42" s="67">
        <f t="shared" si="13"/>
        <v>1.1280764471332325</v>
      </c>
      <c r="R42" s="67">
        <f t="shared" si="14"/>
        <v>1.1724101702038243</v>
      </c>
      <c r="S42" s="623" t="str">
        <f t="shared" si="5"/>
        <v/>
      </c>
      <c r="T42" s="122" t="str">
        <f t="shared" si="6"/>
        <v/>
      </c>
      <c r="U42" s="122">
        <f t="shared" si="7"/>
        <v>4.9949999999999974</v>
      </c>
      <c r="V42" s="126">
        <f t="shared" si="8"/>
        <v>8.6829999999999963</v>
      </c>
      <c r="W42" s="118" t="str">
        <f t="shared" si="0"/>
        <v/>
      </c>
      <c r="X42" s="118" t="str">
        <f t="shared" si="1"/>
        <v/>
      </c>
      <c r="Y42" s="118">
        <f t="shared" si="2"/>
        <v>1.0490561961069316</v>
      </c>
      <c r="Z42" s="133">
        <f t="shared" si="3"/>
        <v>1.091227148560622</v>
      </c>
      <c r="AA42" s="624">
        <f t="shared" si="4"/>
        <v>1.1502433086685284</v>
      </c>
      <c r="AB42" s="631">
        <f t="shared" si="9"/>
        <v>1.0701416723337767</v>
      </c>
      <c r="AC42" s="632" t="s">
        <v>694</v>
      </c>
      <c r="AD42" s="625">
        <v>40200</v>
      </c>
      <c r="AE42" s="70" t="s">
        <v>362</v>
      </c>
      <c r="AF42" s="626" t="s">
        <v>425</v>
      </c>
      <c r="AG42" s="627" t="s">
        <v>426</v>
      </c>
      <c r="AH42" s="36"/>
    </row>
    <row r="43" spans="1:34">
      <c r="A43" s="98" t="s">
        <v>522</v>
      </c>
      <c r="B43" s="416">
        <v>15010.781000000001</v>
      </c>
      <c r="C43" s="416">
        <v>10363.437</v>
      </c>
      <c r="D43" s="416">
        <f>3296.443</f>
        <v>3296.4430000000002</v>
      </c>
      <c r="E43" s="628">
        <v>15527.537</v>
      </c>
      <c r="F43" s="416">
        <v>11024.638999999999</v>
      </c>
      <c r="G43" s="417">
        <f>3381.129</f>
        <v>3381.1289999999999</v>
      </c>
      <c r="H43" s="628">
        <v>14495.544</v>
      </c>
      <c r="I43" s="416">
        <v>10489.785</v>
      </c>
      <c r="J43" s="417">
        <f>3322.662</f>
        <v>3322.6619999999998</v>
      </c>
      <c r="K43" s="418"/>
      <c r="L43" s="66"/>
      <c r="M43" s="105"/>
      <c r="N43" s="419">
        <f t="shared" si="10"/>
        <v>0.27634416479988611</v>
      </c>
      <c r="O43" s="67">
        <f t="shared" si="11"/>
        <v>1.4484365563277899</v>
      </c>
      <c r="P43" s="67">
        <f t="shared" si="12"/>
        <v>1.4084394962955251</v>
      </c>
      <c r="Q43" s="67">
        <f t="shared" si="13"/>
        <v>1.3818723644002238</v>
      </c>
      <c r="R43" s="67" t="str">
        <f t="shared" si="14"/>
        <v/>
      </c>
      <c r="S43" s="623">
        <f t="shared" si="5"/>
        <v>1350.9010000000007</v>
      </c>
      <c r="T43" s="122">
        <f t="shared" si="6"/>
        <v>1121.7690000000011</v>
      </c>
      <c r="U43" s="122">
        <f t="shared" si="7"/>
        <v>683.09700000000021</v>
      </c>
      <c r="V43" s="126" t="str">
        <f t="shared" si="8"/>
        <v/>
      </c>
      <c r="W43" s="118">
        <f t="shared" si="0"/>
        <v>1.1303526040636904</v>
      </c>
      <c r="X43" s="118">
        <f t="shared" si="1"/>
        <v>1.1017510868156319</v>
      </c>
      <c r="Y43" s="118">
        <f t="shared" si="2"/>
        <v>1.0651202098041095</v>
      </c>
      <c r="Z43" s="133" t="str">
        <f t="shared" si="3"/>
        <v/>
      </c>
      <c r="AA43" s="624">
        <f t="shared" si="4"/>
        <v>1.4129161390078462</v>
      </c>
      <c r="AB43" s="631">
        <f t="shared" si="9"/>
        <v>1.0990746335611439</v>
      </c>
      <c r="AC43" s="314" t="s">
        <v>695</v>
      </c>
      <c r="AD43" s="625">
        <v>40185</v>
      </c>
      <c r="AE43" s="40" t="s">
        <v>469</v>
      </c>
      <c r="AF43" s="629" t="s">
        <v>426</v>
      </c>
      <c r="AG43" s="420" t="s">
        <v>425</v>
      </c>
      <c r="AH43" s="36"/>
    </row>
    <row r="44" spans="1:34">
      <c r="A44" s="98" t="s">
        <v>523</v>
      </c>
      <c r="B44" s="414"/>
      <c r="C44" s="414"/>
      <c r="D44" s="414"/>
      <c r="E44" s="621">
        <v>1061786</v>
      </c>
      <c r="F44" s="414">
        <v>611503</v>
      </c>
      <c r="G44" s="415">
        <v>351554</v>
      </c>
      <c r="H44" s="621">
        <v>1128875</v>
      </c>
      <c r="I44" s="414">
        <v>619396</v>
      </c>
      <c r="J44" s="415">
        <v>396856</v>
      </c>
      <c r="K44" s="621">
        <f>(254331+281459+218395+226618)</f>
        <v>980803</v>
      </c>
      <c r="L44" s="414">
        <f>(129067+143556+120469+126488)</f>
        <v>519580</v>
      </c>
      <c r="M44" s="415">
        <v>426636</v>
      </c>
      <c r="N44" s="419">
        <f t="shared" si="10"/>
        <v>0.47025039686868819</v>
      </c>
      <c r="O44" s="67" t="str">
        <f t="shared" si="11"/>
        <v/>
      </c>
      <c r="P44" s="67">
        <f t="shared" si="12"/>
        <v>1.7363545231993955</v>
      </c>
      <c r="Q44" s="67">
        <f t="shared" si="13"/>
        <v>1.8225416373370187</v>
      </c>
      <c r="R44" s="67">
        <f t="shared" si="14"/>
        <v>1.8876842834597174</v>
      </c>
      <c r="S44" s="623" t="str">
        <f t="shared" si="5"/>
        <v/>
      </c>
      <c r="T44" s="122">
        <f t="shared" si="6"/>
        <v>98729</v>
      </c>
      <c r="U44" s="122">
        <f t="shared" si="7"/>
        <v>112623</v>
      </c>
      <c r="V44" s="126">
        <f t="shared" si="8"/>
        <v>34587</v>
      </c>
      <c r="W44" s="118" t="str">
        <f t="shared" si="0"/>
        <v/>
      </c>
      <c r="X44" s="118">
        <f t="shared" si="1"/>
        <v>1.1614530100424691</v>
      </c>
      <c r="Y44" s="118">
        <f t="shared" si="2"/>
        <v>1.1818271348216649</v>
      </c>
      <c r="Z44" s="133">
        <f t="shared" si="3"/>
        <v>1.0665672273759574</v>
      </c>
      <c r="AA44" s="624">
        <f t="shared" si="4"/>
        <v>1.8155268146653771</v>
      </c>
      <c r="AB44" s="631">
        <f t="shared" si="9"/>
        <v>1.1366157907466972</v>
      </c>
      <c r="AC44" s="314" t="s">
        <v>696</v>
      </c>
      <c r="AD44" s="625">
        <v>40309</v>
      </c>
      <c r="AE44" s="40" t="s">
        <v>585</v>
      </c>
      <c r="AF44" s="626" t="s">
        <v>425</v>
      </c>
      <c r="AG44" s="627" t="s">
        <v>426</v>
      </c>
      <c r="AH44" s="36"/>
    </row>
    <row r="45" spans="1:34">
      <c r="A45" s="98" t="s">
        <v>524</v>
      </c>
      <c r="B45" s="414">
        <v>723866</v>
      </c>
      <c r="C45" s="414">
        <v>445625</v>
      </c>
      <c r="D45" s="414">
        <v>164167</v>
      </c>
      <c r="E45" s="621">
        <v>762985</v>
      </c>
      <c r="F45" s="414">
        <v>469643</v>
      </c>
      <c r="G45" s="415">
        <v>176569</v>
      </c>
      <c r="H45" s="621">
        <v>627190</v>
      </c>
      <c r="I45" s="414">
        <v>408668</v>
      </c>
      <c r="J45" s="415">
        <v>164284</v>
      </c>
      <c r="K45" s="622"/>
      <c r="L45" s="68"/>
      <c r="M45" s="107"/>
      <c r="N45" s="419">
        <f t="shared" si="10"/>
        <v>0.34841435609623878</v>
      </c>
      <c r="O45" s="67">
        <f t="shared" si="11"/>
        <v>1.6243837307152875</v>
      </c>
      <c r="P45" s="67">
        <f t="shared" si="12"/>
        <v>1.6246063499296275</v>
      </c>
      <c r="Q45" s="67">
        <f t="shared" si="13"/>
        <v>1.5347176681315884</v>
      </c>
      <c r="R45" s="67" t="str">
        <f t="shared" si="14"/>
        <v/>
      </c>
      <c r="S45" s="623">
        <f t="shared" si="5"/>
        <v>114074</v>
      </c>
      <c r="T45" s="122">
        <f t="shared" si="6"/>
        <v>116773</v>
      </c>
      <c r="U45" s="122">
        <f t="shared" si="7"/>
        <v>54238</v>
      </c>
      <c r="V45" s="126" t="str">
        <f t="shared" si="8"/>
        <v/>
      </c>
      <c r="W45" s="118">
        <f t="shared" si="0"/>
        <v>1.2559865357643758</v>
      </c>
      <c r="X45" s="118">
        <f t="shared" si="1"/>
        <v>1.2486420536450027</v>
      </c>
      <c r="Y45" s="118">
        <f t="shared" si="2"/>
        <v>1.132718979709691</v>
      </c>
      <c r="Z45" s="133" t="str">
        <f t="shared" si="3"/>
        <v/>
      </c>
      <c r="AA45" s="624">
        <f t="shared" si="4"/>
        <v>1.5945692495921679</v>
      </c>
      <c r="AB45" s="631">
        <f t="shared" si="9"/>
        <v>1.2124491897063565</v>
      </c>
      <c r="AC45" s="314" t="s">
        <v>697</v>
      </c>
      <c r="AD45" s="625">
        <v>40190</v>
      </c>
      <c r="AE45" s="40" t="s">
        <v>525</v>
      </c>
      <c r="AF45" s="629" t="s">
        <v>426</v>
      </c>
      <c r="AG45" s="627" t="s">
        <v>426</v>
      </c>
      <c r="AH45" s="36"/>
    </row>
    <row r="46" spans="1:34">
      <c r="A46" s="98" t="s">
        <v>526</v>
      </c>
      <c r="B46" s="416">
        <v>5441.2659999999996</v>
      </c>
      <c r="C46" s="416">
        <v>4902.5</v>
      </c>
      <c r="D46" s="416">
        <v>415.55399999999997</v>
      </c>
      <c r="E46" s="628">
        <v>6694.5959999999995</v>
      </c>
      <c r="F46" s="416">
        <v>6044.6310000000003</v>
      </c>
      <c r="G46" s="417">
        <v>494.51499999999999</v>
      </c>
      <c r="H46" s="628">
        <v>7243.2370000000001</v>
      </c>
      <c r="I46" s="416">
        <v>6525.9769999999999</v>
      </c>
      <c r="J46" s="417">
        <v>521.40099999999995</v>
      </c>
      <c r="K46" s="418"/>
      <c r="L46" s="66"/>
      <c r="M46" s="105"/>
      <c r="N46" s="419">
        <f t="shared" si="10"/>
        <v>9.9024786845991683E-2</v>
      </c>
      <c r="O46" s="67">
        <f t="shared" si="11"/>
        <v>1.1098961754207037</v>
      </c>
      <c r="P46" s="67">
        <f t="shared" si="12"/>
        <v>1.1075276555343079</v>
      </c>
      <c r="Q46" s="67">
        <f t="shared" si="13"/>
        <v>1.1099084474248071</v>
      </c>
      <c r="R46" s="67" t="str">
        <f t="shared" si="14"/>
        <v/>
      </c>
      <c r="S46" s="623">
        <f t="shared" si="5"/>
        <v>123.21199999999965</v>
      </c>
      <c r="T46" s="122">
        <f t="shared" si="6"/>
        <v>155.44999999999925</v>
      </c>
      <c r="U46" s="122">
        <f t="shared" si="7"/>
        <v>195.85900000000026</v>
      </c>
      <c r="V46" s="126" t="str">
        <f t="shared" si="8"/>
        <v/>
      </c>
      <c r="W46" s="118">
        <f t="shared" si="0"/>
        <v>1.0251324834268229</v>
      </c>
      <c r="X46" s="118">
        <f t="shared" si="1"/>
        <v>1.0257170371524744</v>
      </c>
      <c r="Y46" s="118">
        <f t="shared" si="2"/>
        <v>1.0300122111984151</v>
      </c>
      <c r="Z46" s="133" t="str">
        <f t="shared" si="3"/>
        <v/>
      </c>
      <c r="AA46" s="624">
        <f t="shared" si="4"/>
        <v>1.1091107594599396</v>
      </c>
      <c r="AB46" s="631">
        <f t="shared" si="9"/>
        <v>1.0269539105925709</v>
      </c>
      <c r="AC46" s="314" t="s">
        <v>698</v>
      </c>
      <c r="AD46" s="625">
        <v>40189</v>
      </c>
      <c r="AE46" s="40" t="s">
        <v>527</v>
      </c>
      <c r="AF46" s="629" t="s">
        <v>426</v>
      </c>
      <c r="AG46" s="627" t="s">
        <v>426</v>
      </c>
      <c r="AH46" s="36"/>
    </row>
    <row r="47" spans="1:34">
      <c r="A47" s="98" t="s">
        <v>528</v>
      </c>
      <c r="B47" s="416"/>
      <c r="C47" s="416"/>
      <c r="D47" s="416"/>
      <c r="E47" s="628">
        <v>1560.5070000000001</v>
      </c>
      <c r="F47" s="416">
        <v>985.36900000000003</v>
      </c>
      <c r="G47" s="417">
        <f>248.685+59.762</f>
        <v>308.447</v>
      </c>
      <c r="H47" s="628">
        <v>1318.691</v>
      </c>
      <c r="I47" s="416">
        <v>916.81</v>
      </c>
      <c r="J47" s="417">
        <f>229.702+60.778</f>
        <v>290.48</v>
      </c>
      <c r="K47" s="412">
        <v>735.87</v>
      </c>
      <c r="L47" s="37">
        <v>576.11</v>
      </c>
      <c r="M47" s="106">
        <f>174.052+55.923</f>
        <v>229.97499999999999</v>
      </c>
      <c r="N47" s="419">
        <f t="shared" si="10"/>
        <v>0.21710356448829277</v>
      </c>
      <c r="O47" s="67" t="str">
        <f t="shared" si="11"/>
        <v/>
      </c>
      <c r="P47" s="67">
        <f t="shared" si="12"/>
        <v>1.5836777897417109</v>
      </c>
      <c r="Q47" s="67">
        <f t="shared" si="13"/>
        <v>1.4383470948179014</v>
      </c>
      <c r="R47" s="67">
        <f t="shared" si="14"/>
        <v>1.2773081529569006</v>
      </c>
      <c r="S47" s="623" t="str">
        <f t="shared" si="5"/>
        <v/>
      </c>
      <c r="T47" s="122">
        <f t="shared" si="6"/>
        <v>266.69100000000003</v>
      </c>
      <c r="U47" s="122">
        <f t="shared" si="7"/>
        <v>111.40100000000007</v>
      </c>
      <c r="V47" s="126">
        <f t="shared" si="8"/>
        <v>-70.215000000000003</v>
      </c>
      <c r="W47" s="118" t="str">
        <f t="shared" si="0"/>
        <v/>
      </c>
      <c r="X47" s="118">
        <f t="shared" si="1"/>
        <v>1.2706508932186826</v>
      </c>
      <c r="Y47" s="118">
        <f t="shared" si="2"/>
        <v>1.1215093639903579</v>
      </c>
      <c r="Z47" s="133">
        <f t="shared" si="3"/>
        <v>0.87812223360122199</v>
      </c>
      <c r="AA47" s="624">
        <f t="shared" si="4"/>
        <v>1.4331110125055044</v>
      </c>
      <c r="AB47" s="631">
        <f t="shared" si="9"/>
        <v>1.0900941636034209</v>
      </c>
      <c r="AC47" s="314" t="s">
        <v>699</v>
      </c>
      <c r="AD47" s="625">
        <v>40185</v>
      </c>
      <c r="AE47" s="40" t="s">
        <v>529</v>
      </c>
      <c r="AF47" s="626" t="s">
        <v>425</v>
      </c>
      <c r="AG47" s="627" t="s">
        <v>426</v>
      </c>
      <c r="AH47" s="36"/>
    </row>
    <row r="48" spans="1:34">
      <c r="A48" s="98" t="s">
        <v>530</v>
      </c>
      <c r="B48" s="414"/>
      <c r="C48" s="414"/>
      <c r="D48" s="414"/>
      <c r="E48" s="621">
        <v>9108170</v>
      </c>
      <c r="F48" s="414">
        <v>6394418</v>
      </c>
      <c r="G48" s="415">
        <v>2254211</v>
      </c>
      <c r="H48" s="621">
        <v>9068928</v>
      </c>
      <c r="I48" s="414">
        <v>6377240</v>
      </c>
      <c r="J48" s="415">
        <v>2172207</v>
      </c>
      <c r="K48" s="621">
        <v>7765507</v>
      </c>
      <c r="L48" s="414">
        <v>5667287</v>
      </c>
      <c r="M48" s="415">
        <v>2025347</v>
      </c>
      <c r="N48" s="419">
        <f t="shared" si="10"/>
        <v>0.27019742561561017</v>
      </c>
      <c r="O48" s="67" t="str">
        <f t="shared" si="11"/>
        <v/>
      </c>
      <c r="P48" s="67">
        <f t="shared" si="12"/>
        <v>1.4243939010555768</v>
      </c>
      <c r="Q48" s="67">
        <f t="shared" si="13"/>
        <v>1.4220772622639262</v>
      </c>
      <c r="R48" s="67">
        <f t="shared" si="14"/>
        <v>1.3702335879584004</v>
      </c>
      <c r="S48" s="623" t="str">
        <f t="shared" si="5"/>
        <v/>
      </c>
      <c r="T48" s="122">
        <f t="shared" si="6"/>
        <v>459541</v>
      </c>
      <c r="U48" s="122">
        <f t="shared" si="7"/>
        <v>519481</v>
      </c>
      <c r="V48" s="126">
        <f t="shared" si="8"/>
        <v>72873</v>
      </c>
      <c r="W48" s="118" t="str">
        <f t="shared" si="0"/>
        <v/>
      </c>
      <c r="X48" s="118">
        <f t="shared" si="1"/>
        <v>1.0718659618435955</v>
      </c>
      <c r="Y48" s="118">
        <f t="shared" si="2"/>
        <v>1.0814585933726817</v>
      </c>
      <c r="Z48" s="133">
        <f t="shared" si="3"/>
        <v>1.0128585335452396</v>
      </c>
      <c r="AA48" s="624">
        <f t="shared" si="4"/>
        <v>1.4055682504259679</v>
      </c>
      <c r="AB48" s="631">
        <f t="shared" si="9"/>
        <v>1.0553943629205056</v>
      </c>
      <c r="AC48" s="314" t="s">
        <v>700</v>
      </c>
      <c r="AD48" s="625">
        <v>40185</v>
      </c>
      <c r="AE48" s="40" t="s">
        <v>531</v>
      </c>
      <c r="AF48" s="626" t="s">
        <v>425</v>
      </c>
      <c r="AG48" s="627" t="s">
        <v>426</v>
      </c>
      <c r="AH48" s="36"/>
    </row>
    <row r="49" spans="1:34">
      <c r="A49" s="98" t="s">
        <v>532</v>
      </c>
      <c r="B49" s="416"/>
      <c r="C49" s="416"/>
      <c r="D49" s="416"/>
      <c r="E49" s="628">
        <v>2243.855</v>
      </c>
      <c r="F49" s="416">
        <v>1677.575</v>
      </c>
      <c r="G49" s="417">
        <v>546.399</v>
      </c>
      <c r="H49" s="628">
        <v>2138.0749999999998</v>
      </c>
      <c r="I49" s="416">
        <v>1651.838</v>
      </c>
      <c r="J49" s="417">
        <v>518.37300000000005</v>
      </c>
      <c r="K49" s="412">
        <v>1927.788</v>
      </c>
      <c r="L49" s="37">
        <v>1462.356</v>
      </c>
      <c r="M49" s="106">
        <v>485.04399999999998</v>
      </c>
      <c r="N49" s="419">
        <f t="shared" si="10"/>
        <v>0.24143318663670488</v>
      </c>
      <c r="O49" s="67" t="str">
        <f t="shared" si="11"/>
        <v/>
      </c>
      <c r="P49" s="67">
        <f t="shared" si="12"/>
        <v>1.3375586784495477</v>
      </c>
      <c r="Q49" s="67">
        <f t="shared" si="13"/>
        <v>1.2943611903830763</v>
      </c>
      <c r="R49" s="67">
        <f t="shared" si="14"/>
        <v>1.3182754404536241</v>
      </c>
      <c r="S49" s="623" t="str">
        <f t="shared" si="5"/>
        <v/>
      </c>
      <c r="T49" s="122">
        <f t="shared" si="6"/>
        <v>19.880999999999972</v>
      </c>
      <c r="U49" s="122">
        <f t="shared" si="7"/>
        <v>-32.136000000000195</v>
      </c>
      <c r="V49" s="126">
        <f t="shared" si="8"/>
        <v>-19.611999999999966</v>
      </c>
      <c r="W49" s="118" t="str">
        <f t="shared" si="0"/>
        <v/>
      </c>
      <c r="X49" s="118">
        <f t="shared" si="1"/>
        <v>1.0118510349760814</v>
      </c>
      <c r="Y49" s="118">
        <f t="shared" si="2"/>
        <v>0.98054530771177306</v>
      </c>
      <c r="Z49" s="133">
        <f t="shared" si="3"/>
        <v>0.98658876497925263</v>
      </c>
      <c r="AA49" s="624">
        <f t="shared" si="4"/>
        <v>1.3167317697620826</v>
      </c>
      <c r="AB49" s="631">
        <f t="shared" si="9"/>
        <v>0.9929950358890357</v>
      </c>
      <c r="AC49" s="314" t="s">
        <v>701</v>
      </c>
      <c r="AD49" s="625">
        <v>40189</v>
      </c>
      <c r="AE49" s="40" t="s">
        <v>586</v>
      </c>
      <c r="AF49" s="629" t="s">
        <v>426</v>
      </c>
      <c r="AG49" s="420" t="s">
        <v>425</v>
      </c>
      <c r="AH49" s="36"/>
    </row>
    <row r="50" spans="1:34">
      <c r="A50" s="98" t="s">
        <v>533</v>
      </c>
      <c r="B50" s="416"/>
      <c r="C50" s="416"/>
      <c r="D50" s="416"/>
      <c r="E50" s="628">
        <v>26793</v>
      </c>
      <c r="F50" s="416">
        <f>E50-9223</f>
        <v>17570</v>
      </c>
      <c r="G50" s="417">
        <f>4980+1016-97</f>
        <v>5899</v>
      </c>
      <c r="H50" s="628">
        <v>26385</v>
      </c>
      <c r="I50" s="416">
        <f>H50-8495</f>
        <v>17890</v>
      </c>
      <c r="J50" s="417">
        <f>5501+1016</f>
        <v>6517</v>
      </c>
      <c r="K50" s="412"/>
      <c r="L50" s="37"/>
      <c r="M50" s="106"/>
      <c r="N50" s="38">
        <v>0.32200000000000001</v>
      </c>
      <c r="O50" s="67" t="str">
        <f t="shared" si="11"/>
        <v/>
      </c>
      <c r="P50" s="67">
        <f t="shared" si="12"/>
        <v>1.5249288560045533</v>
      </c>
      <c r="Q50" s="67">
        <f t="shared" si="13"/>
        <v>1.4748462828395752</v>
      </c>
      <c r="R50" s="67" t="str">
        <f t="shared" si="14"/>
        <v/>
      </c>
      <c r="S50" s="623" t="str">
        <f t="shared" si="5"/>
        <v/>
      </c>
      <c r="T50" s="122">
        <f t="shared" si="6"/>
        <v>3324</v>
      </c>
      <c r="U50" s="122">
        <f t="shared" si="7"/>
        <v>1978</v>
      </c>
      <c r="V50" s="126" t="str">
        <f t="shared" si="8"/>
        <v/>
      </c>
      <c r="W50" s="118" t="str">
        <f t="shared" si="0"/>
        <v/>
      </c>
      <c r="X50" s="118">
        <f t="shared" si="1"/>
        <v>1.1891861126920888</v>
      </c>
      <c r="Y50" s="118">
        <f t="shared" si="2"/>
        <v>1.1105645612073785</v>
      </c>
      <c r="Z50" s="133" t="str">
        <f t="shared" si="3"/>
        <v/>
      </c>
      <c r="AA50" s="624">
        <f t="shared" si="4"/>
        <v>1.4998875694220644</v>
      </c>
      <c r="AB50" s="631">
        <f t="shared" si="9"/>
        <v>1.1498753369497337</v>
      </c>
      <c r="AC50" s="314" t="s">
        <v>702</v>
      </c>
      <c r="AD50" s="625">
        <v>40185</v>
      </c>
      <c r="AE50" s="69" t="s">
        <v>587</v>
      </c>
      <c r="AF50" s="626" t="s">
        <v>425</v>
      </c>
      <c r="AG50" s="627" t="s">
        <v>426</v>
      </c>
      <c r="AH50" s="36"/>
    </row>
    <row r="51" spans="1:34">
      <c r="A51" s="100" t="s">
        <v>534</v>
      </c>
      <c r="B51" s="416"/>
      <c r="C51" s="416"/>
      <c r="D51" s="416"/>
      <c r="E51" s="628">
        <v>1741.6389999999999</v>
      </c>
      <c r="F51" s="416">
        <v>1241.6289999999999</v>
      </c>
      <c r="G51" s="417">
        <f>300.7+116.823</f>
        <v>417.52299999999997</v>
      </c>
      <c r="H51" s="628">
        <v>1855.7909999999999</v>
      </c>
      <c r="I51" s="416">
        <v>1314.1189999999999</v>
      </c>
      <c r="J51" s="417">
        <f>323.973+125.296</f>
        <v>449.26900000000001</v>
      </c>
      <c r="K51" s="412">
        <v>1952.691</v>
      </c>
      <c r="L51" s="37">
        <v>1370.7809999999999</v>
      </c>
      <c r="M51" s="106">
        <f>352.26+128.505</f>
        <v>480.76499999999999</v>
      </c>
      <c r="N51" s="419">
        <f t="shared" ref="N51:N78" si="15">IF(K51="",((H51-I51)/H51),((K51-L51)/K51))</f>
        <v>0.29800413890369754</v>
      </c>
      <c r="O51" s="67" t="str">
        <f t="shared" si="11"/>
        <v/>
      </c>
      <c r="P51" s="67">
        <f t="shared" si="12"/>
        <v>1.4027048337305266</v>
      </c>
      <c r="Q51" s="67">
        <f t="shared" si="13"/>
        <v>1.412194025046438</v>
      </c>
      <c r="R51" s="67">
        <f t="shared" si="14"/>
        <v>1.4245098232321576</v>
      </c>
      <c r="S51" s="623" t="str">
        <f t="shared" si="5"/>
        <v/>
      </c>
      <c r="T51" s="122">
        <f t="shared" si="6"/>
        <v>82.487000000000023</v>
      </c>
      <c r="U51" s="122">
        <f t="shared" si="7"/>
        <v>92.40300000000002</v>
      </c>
      <c r="V51" s="126">
        <f t="shared" si="8"/>
        <v>101.1450000000001</v>
      </c>
      <c r="W51" s="118" t="str">
        <f t="shared" si="0"/>
        <v/>
      </c>
      <c r="X51" s="118">
        <f t="shared" si="1"/>
        <v>1.066434498549889</v>
      </c>
      <c r="Y51" s="118">
        <f t="shared" si="2"/>
        <v>1.0703155498094161</v>
      </c>
      <c r="Z51" s="133">
        <f t="shared" si="3"/>
        <v>1.0737864035174109</v>
      </c>
      <c r="AA51" s="624">
        <f t="shared" si="4"/>
        <v>1.4131362273363741</v>
      </c>
      <c r="AB51" s="631">
        <f t="shared" si="9"/>
        <v>1.0701788172922386</v>
      </c>
      <c r="AC51" s="314" t="s">
        <v>703</v>
      </c>
      <c r="AD51" s="42">
        <v>40198</v>
      </c>
      <c r="AE51" s="40" t="s">
        <v>535</v>
      </c>
      <c r="AF51" s="629" t="s">
        <v>426</v>
      </c>
      <c r="AG51" s="627" t="s">
        <v>426</v>
      </c>
      <c r="AH51" s="36"/>
    </row>
    <row r="52" spans="1:34">
      <c r="A52" s="98" t="s">
        <v>536</v>
      </c>
      <c r="B52" s="416">
        <v>4777.5</v>
      </c>
      <c r="C52" s="416">
        <v>2648.1</v>
      </c>
      <c r="D52" s="416">
        <v>1810.7</v>
      </c>
      <c r="E52" s="628">
        <v>4251.7</v>
      </c>
      <c r="F52" s="416">
        <v>2225.9</v>
      </c>
      <c r="G52" s="417">
        <v>1538.5</v>
      </c>
      <c r="H52" s="628">
        <v>4224.5</v>
      </c>
      <c r="I52" s="416">
        <v>2301.8000000000002</v>
      </c>
      <c r="J52" s="417">
        <v>1509.8</v>
      </c>
      <c r="K52" s="418"/>
      <c r="L52" s="66"/>
      <c r="M52" s="105"/>
      <c r="N52" s="419">
        <f t="shared" si="15"/>
        <v>0.45513078470824947</v>
      </c>
      <c r="O52" s="67">
        <f t="shared" si="11"/>
        <v>1.8041237113402062</v>
      </c>
      <c r="P52" s="67">
        <f t="shared" si="12"/>
        <v>1.9101037782470009</v>
      </c>
      <c r="Q52" s="67">
        <f t="shared" si="13"/>
        <v>1.8353028064992614</v>
      </c>
      <c r="R52" s="67" t="str">
        <f t="shared" si="14"/>
        <v/>
      </c>
      <c r="S52" s="623">
        <f t="shared" si="5"/>
        <v>318.70000000000005</v>
      </c>
      <c r="T52" s="122">
        <f t="shared" si="6"/>
        <v>487.29999999999973</v>
      </c>
      <c r="U52" s="122">
        <f t="shared" si="7"/>
        <v>412.89999999999986</v>
      </c>
      <c r="V52" s="126" t="str">
        <f t="shared" si="8"/>
        <v/>
      </c>
      <c r="W52" s="118">
        <f t="shared" si="0"/>
        <v>1.1203504399380688</v>
      </c>
      <c r="X52" s="118">
        <f t="shared" si="1"/>
        <v>1.2189226829597015</v>
      </c>
      <c r="Y52" s="118">
        <f t="shared" si="2"/>
        <v>1.1793813537231732</v>
      </c>
      <c r="Z52" s="133" t="str">
        <f t="shared" si="3"/>
        <v/>
      </c>
      <c r="AA52" s="624">
        <f t="shared" si="4"/>
        <v>1.8498434320288231</v>
      </c>
      <c r="AB52" s="631">
        <f t="shared" si="9"/>
        <v>1.1728848255403146</v>
      </c>
      <c r="AC52" s="314" t="s">
        <v>704</v>
      </c>
      <c r="AD52" s="625">
        <v>40185</v>
      </c>
      <c r="AE52" s="40" t="s">
        <v>537</v>
      </c>
      <c r="AF52" s="629" t="s">
        <v>426</v>
      </c>
      <c r="AG52" s="420" t="s">
        <v>425</v>
      </c>
      <c r="AH52" s="36"/>
    </row>
    <row r="53" spans="1:34">
      <c r="A53" s="98" t="s">
        <v>538</v>
      </c>
      <c r="B53" s="416"/>
      <c r="C53" s="416"/>
      <c r="D53" s="416"/>
      <c r="E53" s="628">
        <v>3037.1030000000001</v>
      </c>
      <c r="F53" s="416">
        <v>1379.3009999999999</v>
      </c>
      <c r="G53" s="417">
        <v>537.92200000000003</v>
      </c>
      <c r="H53" s="628">
        <v>6009.3950000000004</v>
      </c>
      <c r="I53" s="416">
        <v>2928.8139999999999</v>
      </c>
      <c r="J53" s="417">
        <v>881.48199999999997</v>
      </c>
      <c r="K53" s="412">
        <v>11065.186</v>
      </c>
      <c r="L53" s="37">
        <v>5967.8879999999999</v>
      </c>
      <c r="M53" s="106">
        <v>1495.6969999999999</v>
      </c>
      <c r="N53" s="419">
        <f t="shared" si="15"/>
        <v>0.46066085106929067</v>
      </c>
      <c r="O53" s="67" t="str">
        <f t="shared" si="11"/>
        <v/>
      </c>
      <c r="P53" s="67">
        <f t="shared" si="12"/>
        <v>2.2019145929713675</v>
      </c>
      <c r="Q53" s="67">
        <f t="shared" si="13"/>
        <v>2.0518185859532223</v>
      </c>
      <c r="R53" s="67">
        <f t="shared" si="14"/>
        <v>1.8541209218403563</v>
      </c>
      <c r="S53" s="623" t="str">
        <f t="shared" si="5"/>
        <v/>
      </c>
      <c r="T53" s="122">
        <f t="shared" si="6"/>
        <v>1119.8800000000001</v>
      </c>
      <c r="U53" s="122">
        <f t="shared" si="7"/>
        <v>2199.0990000000006</v>
      </c>
      <c r="V53" s="126">
        <f t="shared" si="8"/>
        <v>3601.6009999999997</v>
      </c>
      <c r="W53" s="118" t="str">
        <f t="shared" si="0"/>
        <v/>
      </c>
      <c r="X53" s="118">
        <f t="shared" si="1"/>
        <v>1.8119185007478427</v>
      </c>
      <c r="Y53" s="118">
        <f t="shared" si="2"/>
        <v>1.7508496613304909</v>
      </c>
      <c r="Z53" s="133">
        <f t="shared" si="3"/>
        <v>1.6034967479282454</v>
      </c>
      <c r="AA53" s="624">
        <f>AVERAGE(O53:R53)</f>
        <v>2.0359513669216485</v>
      </c>
      <c r="AB53" s="631">
        <f t="shared" si="9"/>
        <v>1.7220883033355261</v>
      </c>
      <c r="AC53" s="314" t="s">
        <v>705</v>
      </c>
      <c r="AD53" s="625">
        <v>40185</v>
      </c>
      <c r="AE53" s="40" t="s">
        <v>588</v>
      </c>
      <c r="AF53" s="626" t="s">
        <v>425</v>
      </c>
      <c r="AG53" s="627" t="s">
        <v>426</v>
      </c>
      <c r="AH53" s="36"/>
    </row>
    <row r="54" spans="1:34">
      <c r="A54" s="98" t="s">
        <v>539</v>
      </c>
      <c r="B54" s="416"/>
      <c r="C54" s="416"/>
      <c r="D54" s="416"/>
      <c r="E54" s="628">
        <v>716.33199999999999</v>
      </c>
      <c r="F54" s="416">
        <v>272.14</v>
      </c>
      <c r="G54" s="417">
        <v>237.32599999999999</v>
      </c>
      <c r="H54" s="628">
        <v>835.39700000000005</v>
      </c>
      <c r="I54" s="416">
        <v>338.54399999999998</v>
      </c>
      <c r="J54" s="417">
        <v>278.08699999999999</v>
      </c>
      <c r="K54" s="412">
        <v>920.73500000000001</v>
      </c>
      <c r="L54" s="37">
        <v>366.93299999999999</v>
      </c>
      <c r="M54" s="106">
        <v>289.875</v>
      </c>
      <c r="N54" s="419">
        <f t="shared" si="15"/>
        <v>0.60147816689927069</v>
      </c>
      <c r="O54" s="67" t="str">
        <f t="shared" si="11"/>
        <v/>
      </c>
      <c r="P54" s="67">
        <f t="shared" si="12"/>
        <v>2.6322187109575954</v>
      </c>
      <c r="Q54" s="67">
        <f t="shared" si="13"/>
        <v>2.4676172078075527</v>
      </c>
      <c r="R54" s="67">
        <f t="shared" si="14"/>
        <v>2.5092728100225381</v>
      </c>
      <c r="S54" s="623" t="str">
        <f t="shared" si="5"/>
        <v/>
      </c>
      <c r="T54" s="122">
        <f t="shared" si="6"/>
        <v>206.86600000000001</v>
      </c>
      <c r="U54" s="122">
        <f t="shared" si="7"/>
        <v>218.76600000000008</v>
      </c>
      <c r="V54" s="126">
        <f t="shared" si="8"/>
        <v>263.92700000000002</v>
      </c>
      <c r="W54" s="118" t="str">
        <f t="shared" si="0"/>
        <v/>
      </c>
      <c r="X54" s="118">
        <f t="shared" si="1"/>
        <v>1.7601455133387227</v>
      </c>
      <c r="Y54" s="118">
        <f t="shared" si="2"/>
        <v>1.6461966539061395</v>
      </c>
      <c r="Z54" s="133">
        <f t="shared" si="3"/>
        <v>1.7192784513794073</v>
      </c>
      <c r="AA54" s="624">
        <f t="shared" si="4"/>
        <v>2.5363695762625622</v>
      </c>
      <c r="AB54" s="631">
        <f t="shared" si="9"/>
        <v>1.7085402062080899</v>
      </c>
      <c r="AC54" s="314" t="s">
        <v>706</v>
      </c>
      <c r="AD54" s="625">
        <v>40200</v>
      </c>
      <c r="AE54" s="41" t="s">
        <v>540</v>
      </c>
      <c r="AF54" s="629" t="s">
        <v>426</v>
      </c>
      <c r="AG54" s="627" t="s">
        <v>426</v>
      </c>
      <c r="AH54" s="36"/>
    </row>
    <row r="55" spans="1:34">
      <c r="A55" s="98" t="s">
        <v>541</v>
      </c>
      <c r="B55" s="416"/>
      <c r="C55" s="416"/>
      <c r="D55" s="416"/>
      <c r="E55" s="628">
        <v>17399.383000000002</v>
      </c>
      <c r="F55" s="416">
        <v>12710.609</v>
      </c>
      <c r="G55" s="417">
        <v>4338.4620000000004</v>
      </c>
      <c r="H55" s="628">
        <v>24326.846000000001</v>
      </c>
      <c r="I55" s="416">
        <v>17689.272000000001</v>
      </c>
      <c r="J55" s="417">
        <v>6366.1369999999997</v>
      </c>
      <c r="K55" s="412">
        <v>26289.268</v>
      </c>
      <c r="L55" s="37">
        <v>19253.616000000002</v>
      </c>
      <c r="M55" s="106">
        <v>6985.3670000000002</v>
      </c>
      <c r="N55" s="419">
        <f t="shared" si="15"/>
        <v>0.26762449224527662</v>
      </c>
      <c r="O55" s="67" t="str">
        <f t="shared" si="11"/>
        <v/>
      </c>
      <c r="P55" s="67">
        <f t="shared" si="12"/>
        <v>1.3688866520872447</v>
      </c>
      <c r="Q55" s="67">
        <f t="shared" si="13"/>
        <v>1.3752316093053463</v>
      </c>
      <c r="R55" s="67">
        <f t="shared" si="14"/>
        <v>1.3654197736155118</v>
      </c>
      <c r="S55" s="623" t="str">
        <f t="shared" si="5"/>
        <v/>
      </c>
      <c r="T55" s="122">
        <f t="shared" si="6"/>
        <v>350.31200000000081</v>
      </c>
      <c r="U55" s="122">
        <f t="shared" si="7"/>
        <v>271.43700000000081</v>
      </c>
      <c r="V55" s="126">
        <f t="shared" si="8"/>
        <v>50.284999999998035</v>
      </c>
      <c r="W55" s="118" t="str">
        <f t="shared" si="0"/>
        <v/>
      </c>
      <c r="X55" s="118">
        <f t="shared" si="1"/>
        <v>1.027560599181361</v>
      </c>
      <c r="Y55" s="118">
        <f t="shared" si="2"/>
        <v>1.0153447241921545</v>
      </c>
      <c r="Z55" s="133">
        <f t="shared" si="3"/>
        <v>1.0026117171963955</v>
      </c>
      <c r="AA55" s="624">
        <f t="shared" si="4"/>
        <v>1.3698460116693676</v>
      </c>
      <c r="AB55" s="631">
        <f t="shared" si="9"/>
        <v>1.0151723468566372</v>
      </c>
      <c r="AC55" s="314" t="s">
        <v>707</v>
      </c>
      <c r="AD55" s="625">
        <v>40186</v>
      </c>
      <c r="AE55" s="40" t="s">
        <v>542</v>
      </c>
      <c r="AF55" s="629" t="s">
        <v>426</v>
      </c>
      <c r="AG55" s="420" t="s">
        <v>425</v>
      </c>
      <c r="AH55" s="36"/>
    </row>
    <row r="56" spans="1:34">
      <c r="A56" s="98" t="s">
        <v>543</v>
      </c>
      <c r="B56" s="414"/>
      <c r="C56" s="414"/>
      <c r="D56" s="414"/>
      <c r="E56" s="628">
        <v>78367.395999999993</v>
      </c>
      <c r="F56" s="416">
        <v>56388.951000000001</v>
      </c>
      <c r="G56" s="417">
        <v>14839.793</v>
      </c>
      <c r="H56" s="628">
        <v>96495.082999999999</v>
      </c>
      <c r="I56" s="416">
        <v>71409.987999999998</v>
      </c>
      <c r="J56" s="417">
        <v>20286.476999999999</v>
      </c>
      <c r="K56" s="621"/>
      <c r="L56" s="414"/>
      <c r="M56" s="415"/>
      <c r="N56" s="419">
        <f t="shared" si="15"/>
        <v>0.2599624169451204</v>
      </c>
      <c r="O56" s="67" t="str">
        <f t="shared" si="11"/>
        <v/>
      </c>
      <c r="P56" s="67">
        <f t="shared" si="12"/>
        <v>1.3897650977759808</v>
      </c>
      <c r="Q56" s="67">
        <f t="shared" si="13"/>
        <v>1.3512827225233535</v>
      </c>
      <c r="R56" s="67" t="str">
        <f t="shared" si="14"/>
        <v/>
      </c>
      <c r="S56" s="623" t="str">
        <f t="shared" si="5"/>
        <v/>
      </c>
      <c r="T56" s="122">
        <f t="shared" si="6"/>
        <v>7138.6519999999928</v>
      </c>
      <c r="U56" s="122">
        <f t="shared" si="7"/>
        <v>4798.6180000000022</v>
      </c>
      <c r="V56" s="126" t="str">
        <f t="shared" si="8"/>
        <v/>
      </c>
      <c r="W56" s="118" t="str">
        <f t="shared" si="0"/>
        <v/>
      </c>
      <c r="X56" s="118">
        <f t="shared" si="1"/>
        <v>1.1265966447930551</v>
      </c>
      <c r="Y56" s="118">
        <f t="shared" si="2"/>
        <v>1.0671981348043358</v>
      </c>
      <c r="Z56" s="133" t="str">
        <f t="shared" si="3"/>
        <v/>
      </c>
      <c r="AA56" s="624">
        <f t="shared" si="4"/>
        <v>1.3705239101496671</v>
      </c>
      <c r="AB56" s="631">
        <f t="shared" si="9"/>
        <v>1.0968973897986953</v>
      </c>
      <c r="AC56" s="314" t="s">
        <v>708</v>
      </c>
      <c r="AD56" s="625">
        <v>40185</v>
      </c>
      <c r="AE56" s="69" t="s">
        <v>361</v>
      </c>
      <c r="AF56" s="626" t="s">
        <v>425</v>
      </c>
      <c r="AG56" s="627" t="s">
        <v>426</v>
      </c>
      <c r="AH56" s="36"/>
    </row>
    <row r="57" spans="1:34">
      <c r="A57" s="98" t="s">
        <v>544</v>
      </c>
      <c r="B57" s="416">
        <v>3257.7249999999999</v>
      </c>
      <c r="C57" s="416">
        <v>2018.0519999999999</v>
      </c>
      <c r="D57" s="416">
        <f>203.406+159.835</f>
        <v>363.24099999999999</v>
      </c>
      <c r="E57" s="628">
        <v>3896.366</v>
      </c>
      <c r="F57" s="416">
        <v>2693.6469999999999</v>
      </c>
      <c r="G57" s="417">
        <f>294.594+181.509</f>
        <v>476.10299999999995</v>
      </c>
      <c r="H57" s="628">
        <v>3351.3519999999999</v>
      </c>
      <c r="I57" s="416">
        <v>3288.2649999999999</v>
      </c>
      <c r="J57" s="417">
        <f>328.079+204.765</f>
        <v>532.84400000000005</v>
      </c>
      <c r="K57" s="412"/>
      <c r="L57" s="37"/>
      <c r="M57" s="106"/>
      <c r="N57" s="419">
        <f t="shared" si="15"/>
        <v>1.8824343130772296E-2</v>
      </c>
      <c r="O57" s="67">
        <f t="shared" si="11"/>
        <v>1.6142919012988763</v>
      </c>
      <c r="P57" s="67">
        <f t="shared" si="12"/>
        <v>1.4465020843488401</v>
      </c>
      <c r="Q57" s="67">
        <f t="shared" si="13"/>
        <v>1.0191854975192085</v>
      </c>
      <c r="R57" s="67" t="str">
        <f t="shared" si="14"/>
        <v/>
      </c>
      <c r="S57" s="623">
        <f t="shared" si="5"/>
        <v>876.43200000000002</v>
      </c>
      <c r="T57" s="122">
        <f t="shared" si="6"/>
        <v>726.6160000000001</v>
      </c>
      <c r="U57" s="122">
        <f t="shared" si="7"/>
        <v>-469.75700000000006</v>
      </c>
      <c r="V57" s="126" t="str">
        <f t="shared" si="8"/>
        <v/>
      </c>
      <c r="W57" s="118">
        <f t="shared" si="0"/>
        <v>1.4342960439076893</v>
      </c>
      <c r="X57" s="118">
        <f t="shared" si="1"/>
        <v>1.2697517529208542</v>
      </c>
      <c r="Y57" s="118">
        <f t="shared" si="2"/>
        <v>0.85714138002867768</v>
      </c>
      <c r="Z57" s="133" t="str">
        <f t="shared" si="3"/>
        <v/>
      </c>
      <c r="AA57" s="624">
        <f t="shared" si="4"/>
        <v>1.3599931610556417</v>
      </c>
      <c r="AB57" s="631">
        <f t="shared" si="9"/>
        <v>1.1870630589524072</v>
      </c>
      <c r="AC57" s="314" t="s">
        <v>709</v>
      </c>
      <c r="AD57" s="625">
        <v>40185</v>
      </c>
      <c r="AE57" s="40" t="s">
        <v>547</v>
      </c>
      <c r="AF57" s="626" t="s">
        <v>425</v>
      </c>
      <c r="AG57" s="627" t="s">
        <v>426</v>
      </c>
      <c r="AH57" s="36"/>
    </row>
    <row r="58" spans="1:34">
      <c r="A58" s="98" t="s">
        <v>548</v>
      </c>
      <c r="B58" s="414"/>
      <c r="C58" s="414"/>
      <c r="D58" s="414"/>
      <c r="E58" s="621">
        <v>17309</v>
      </c>
      <c r="F58" s="414">
        <v>10210</v>
      </c>
      <c r="G58" s="415">
        <v>3978</v>
      </c>
      <c r="H58" s="621">
        <v>18311</v>
      </c>
      <c r="I58" s="414">
        <v>10896</v>
      </c>
      <c r="J58" s="415">
        <v>4120</v>
      </c>
      <c r="K58" s="621"/>
      <c r="L58" s="414"/>
      <c r="M58" s="415"/>
      <c r="N58" s="419">
        <f t="shared" si="15"/>
        <v>0.40494784555731528</v>
      </c>
      <c r="O58" s="67" t="str">
        <f t="shared" si="11"/>
        <v/>
      </c>
      <c r="P58" s="67">
        <f t="shared" si="12"/>
        <v>1.6952987267384916</v>
      </c>
      <c r="Q58" s="67">
        <f t="shared" si="13"/>
        <v>1.6805249632892805</v>
      </c>
      <c r="R58" s="67" t="str">
        <f t="shared" si="14"/>
        <v/>
      </c>
      <c r="S58" s="623" t="str">
        <f t="shared" si="5"/>
        <v/>
      </c>
      <c r="T58" s="122">
        <f t="shared" si="6"/>
        <v>3121</v>
      </c>
      <c r="U58" s="122">
        <f t="shared" si="7"/>
        <v>3295</v>
      </c>
      <c r="V58" s="126" t="str">
        <f t="shared" si="8"/>
        <v/>
      </c>
      <c r="W58" s="118" t="str">
        <f t="shared" si="0"/>
        <v/>
      </c>
      <c r="X58" s="118">
        <f t="shared" si="1"/>
        <v>1.3056807051909893</v>
      </c>
      <c r="Y58" s="118">
        <f t="shared" si="2"/>
        <v>1.3024045521292218</v>
      </c>
      <c r="Z58" s="133" t="str">
        <f t="shared" si="3"/>
        <v/>
      </c>
      <c r="AA58" s="624">
        <f t="shared" si="4"/>
        <v>1.6879118450138861</v>
      </c>
      <c r="AB58" s="631">
        <f t="shared" si="9"/>
        <v>1.3040426286601057</v>
      </c>
      <c r="AC58" s="314" t="s">
        <v>710</v>
      </c>
      <c r="AD58" s="625">
        <v>40200</v>
      </c>
      <c r="AE58" s="41" t="s">
        <v>549</v>
      </c>
      <c r="AF58" s="626" t="s">
        <v>425</v>
      </c>
      <c r="AG58" s="627" t="s">
        <v>426</v>
      </c>
      <c r="AH58" s="36"/>
    </row>
    <row r="59" spans="1:34">
      <c r="A59" s="98" t="s">
        <v>550</v>
      </c>
      <c r="B59" s="416">
        <v>53016</v>
      </c>
      <c r="C59" s="416">
        <v>37824</v>
      </c>
      <c r="D59" s="416">
        <v>11574</v>
      </c>
      <c r="E59" s="628">
        <v>50703</v>
      </c>
      <c r="F59" s="416">
        <v>36638</v>
      </c>
      <c r="G59" s="417">
        <v>11468</v>
      </c>
      <c r="H59" s="628">
        <v>46770</v>
      </c>
      <c r="I59" s="416">
        <v>34118</v>
      </c>
      <c r="J59" s="417">
        <v>11060</v>
      </c>
      <c r="K59" s="412"/>
      <c r="L59" s="37"/>
      <c r="M59" s="106"/>
      <c r="N59" s="419">
        <f t="shared" si="15"/>
        <v>0.27051528757750692</v>
      </c>
      <c r="O59" s="67">
        <f t="shared" si="11"/>
        <v>1.4016497461928934</v>
      </c>
      <c r="P59" s="67">
        <f t="shared" si="12"/>
        <v>1.3838910420874502</v>
      </c>
      <c r="Q59" s="67">
        <f t="shared" si="13"/>
        <v>1.3708306465795181</v>
      </c>
      <c r="R59" s="67" t="str">
        <f t="shared" si="14"/>
        <v/>
      </c>
      <c r="S59" s="623">
        <f t="shared" si="5"/>
        <v>3618</v>
      </c>
      <c r="T59" s="122">
        <f t="shared" si="6"/>
        <v>2597</v>
      </c>
      <c r="U59" s="122">
        <f t="shared" si="7"/>
        <v>1592</v>
      </c>
      <c r="V59" s="126" t="str">
        <f t="shared" si="8"/>
        <v/>
      </c>
      <c r="W59" s="118">
        <f t="shared" si="0"/>
        <v>1.0956535532994924</v>
      </c>
      <c r="X59" s="118">
        <f t="shared" si="1"/>
        <v>1.0708826901031716</v>
      </c>
      <c r="Y59" s="118">
        <f t="shared" si="2"/>
        <v>1.0466615862594524</v>
      </c>
      <c r="Z59" s="133" t="str">
        <f t="shared" si="3"/>
        <v/>
      </c>
      <c r="AA59" s="624">
        <f t="shared" si="4"/>
        <v>1.3854571449532873</v>
      </c>
      <c r="AB59" s="631">
        <f t="shared" si="9"/>
        <v>1.0710659432207055</v>
      </c>
      <c r="AC59" s="314" t="s">
        <v>711</v>
      </c>
      <c r="AD59" s="625">
        <v>40185</v>
      </c>
      <c r="AE59" s="40" t="s">
        <v>551</v>
      </c>
      <c r="AF59" s="629" t="s">
        <v>426</v>
      </c>
      <c r="AG59" s="420" t="s">
        <v>425</v>
      </c>
      <c r="AH59" s="36"/>
    </row>
    <row r="60" spans="1:34">
      <c r="A60" s="98" t="s">
        <v>552</v>
      </c>
      <c r="B60" s="414"/>
      <c r="C60" s="414"/>
      <c r="D60" s="414"/>
      <c r="E60" s="621">
        <v>7567359</v>
      </c>
      <c r="F60" s="414">
        <v>5889601</v>
      </c>
      <c r="G60" s="415">
        <v>1778427</v>
      </c>
      <c r="H60" s="621">
        <v>8201839</v>
      </c>
      <c r="I60" s="414">
        <v>6290022</v>
      </c>
      <c r="J60" s="415">
        <v>1714445</v>
      </c>
      <c r="K60" s="621">
        <v>7110053</v>
      </c>
      <c r="L60" s="414">
        <v>5660504</v>
      </c>
      <c r="M60" s="415">
        <v>1686030</v>
      </c>
      <c r="N60" s="419">
        <f t="shared" si="15"/>
        <v>0.20387316381467199</v>
      </c>
      <c r="O60" s="67" t="str">
        <f t="shared" si="11"/>
        <v/>
      </c>
      <c r="P60" s="67">
        <f t="shared" si="12"/>
        <v>1.2848678543758736</v>
      </c>
      <c r="Q60" s="67">
        <f t="shared" si="13"/>
        <v>1.3039444059178171</v>
      </c>
      <c r="R60" s="67">
        <f t="shared" si="14"/>
        <v>1.256081260608596</v>
      </c>
      <c r="S60" s="623" t="str">
        <f t="shared" si="5"/>
        <v/>
      </c>
      <c r="T60" s="122">
        <f t="shared" si="6"/>
        <v>-100669</v>
      </c>
      <c r="U60" s="122">
        <f t="shared" si="7"/>
        <v>197372</v>
      </c>
      <c r="V60" s="126">
        <f t="shared" si="8"/>
        <v>-236481</v>
      </c>
      <c r="W60" s="118" t="str">
        <f t="shared" si="0"/>
        <v/>
      </c>
      <c r="X60" s="118">
        <f t="shared" si="1"/>
        <v>0.98290733107387074</v>
      </c>
      <c r="Y60" s="118">
        <f t="shared" si="2"/>
        <v>1.0313785865931788</v>
      </c>
      <c r="Z60" s="133">
        <f t="shared" si="3"/>
        <v>0.95822262469914343</v>
      </c>
      <c r="AA60" s="624">
        <f t="shared" si="4"/>
        <v>1.2816311736340955</v>
      </c>
      <c r="AB60" s="631">
        <f t="shared" si="9"/>
        <v>0.99083618078873104</v>
      </c>
      <c r="AC60" s="314" t="s">
        <v>712</v>
      </c>
      <c r="AD60" s="625">
        <v>40185</v>
      </c>
      <c r="AE60" s="40" t="s">
        <v>553</v>
      </c>
      <c r="AF60" s="626" t="s">
        <v>425</v>
      </c>
      <c r="AG60" s="627" t="s">
        <v>426</v>
      </c>
      <c r="AH60" s="36"/>
    </row>
    <row r="61" spans="1:34">
      <c r="A61" s="98" t="s">
        <v>554</v>
      </c>
      <c r="B61" s="416">
        <v>41003</v>
      </c>
      <c r="C61" s="416">
        <v>16763</v>
      </c>
      <c r="D61" s="416">
        <v>11957</v>
      </c>
      <c r="E61" s="628">
        <v>40146</v>
      </c>
      <c r="F61" s="416">
        <v>17191</v>
      </c>
      <c r="G61" s="417">
        <v>12673</v>
      </c>
      <c r="H61" s="628">
        <v>35635</v>
      </c>
      <c r="I61" s="416">
        <v>16746</v>
      </c>
      <c r="J61" s="417">
        <v>11355</v>
      </c>
      <c r="K61" s="412"/>
      <c r="L61" s="37"/>
      <c r="M61" s="106"/>
      <c r="N61" s="419">
        <f t="shared" si="15"/>
        <v>0.53006875263084041</v>
      </c>
      <c r="O61" s="67">
        <f t="shared" si="11"/>
        <v>2.4460418779454751</v>
      </c>
      <c r="P61" s="67">
        <f t="shared" si="12"/>
        <v>2.3352917224128906</v>
      </c>
      <c r="Q61" s="67">
        <f t="shared" si="13"/>
        <v>2.1279708587125286</v>
      </c>
      <c r="R61" s="67" t="str">
        <f t="shared" si="14"/>
        <v/>
      </c>
      <c r="S61" s="623">
        <f t="shared" si="5"/>
        <v>12283</v>
      </c>
      <c r="T61" s="122">
        <f t="shared" si="6"/>
        <v>10282</v>
      </c>
      <c r="U61" s="122">
        <f t="shared" si="7"/>
        <v>7534</v>
      </c>
      <c r="V61" s="126" t="str">
        <f t="shared" si="8"/>
        <v/>
      </c>
      <c r="W61" s="118">
        <f t="shared" si="0"/>
        <v>1.7327447354292191</v>
      </c>
      <c r="X61" s="118">
        <f t="shared" si="1"/>
        <v>1.5981036588912803</v>
      </c>
      <c r="Y61" s="118">
        <f t="shared" si="2"/>
        <v>1.4498984832198734</v>
      </c>
      <c r="Z61" s="133" t="str">
        <f t="shared" si="3"/>
        <v/>
      </c>
      <c r="AA61" s="624">
        <f t="shared" si="4"/>
        <v>2.3031014863569648</v>
      </c>
      <c r="AB61" s="631">
        <f t="shared" si="9"/>
        <v>1.5935822925134575</v>
      </c>
      <c r="AC61" s="314" t="s">
        <v>713</v>
      </c>
      <c r="AD61" s="625">
        <v>40186</v>
      </c>
      <c r="AE61" s="40" t="s">
        <v>535</v>
      </c>
      <c r="AF61" s="629" t="s">
        <v>426</v>
      </c>
      <c r="AG61" s="420" t="s">
        <v>426</v>
      </c>
      <c r="AH61" s="36"/>
    </row>
    <row r="62" spans="1:34">
      <c r="A62" s="98" t="s">
        <v>555</v>
      </c>
      <c r="B62" s="416"/>
      <c r="C62" s="416"/>
      <c r="D62" s="416"/>
      <c r="E62" s="628">
        <v>18160.789000000001</v>
      </c>
      <c r="F62" s="416">
        <v>12966.788</v>
      </c>
      <c r="G62" s="417">
        <v>3716.5169999999998</v>
      </c>
      <c r="H62" s="628">
        <v>19372.682000000001</v>
      </c>
      <c r="I62" s="416">
        <v>13822.011</v>
      </c>
      <c r="J62" s="417">
        <v>3986.7579999999998</v>
      </c>
      <c r="K62" s="412">
        <v>23083.78</v>
      </c>
      <c r="L62" s="37">
        <v>16836.84</v>
      </c>
      <c r="M62" s="106">
        <v>4631.2190000000001</v>
      </c>
      <c r="N62" s="419">
        <f t="shared" si="15"/>
        <v>0.27062032301468819</v>
      </c>
      <c r="O62" s="67" t="str">
        <f t="shared" si="11"/>
        <v/>
      </c>
      <c r="P62" s="67">
        <f t="shared" si="12"/>
        <v>1.4005618816317502</v>
      </c>
      <c r="Q62" s="67">
        <f t="shared" si="13"/>
        <v>1.4015820129212746</v>
      </c>
      <c r="R62" s="67">
        <f t="shared" si="14"/>
        <v>1.3710280551457399</v>
      </c>
      <c r="S62" s="623" t="str">
        <f t="shared" si="5"/>
        <v/>
      </c>
      <c r="T62" s="122">
        <f t="shared" si="6"/>
        <v>1477.4840000000004</v>
      </c>
      <c r="U62" s="122">
        <f t="shared" si="7"/>
        <v>1563.9130000000005</v>
      </c>
      <c r="V62" s="126">
        <f t="shared" si="8"/>
        <v>1615.7209999999986</v>
      </c>
      <c r="W62" s="118" t="str">
        <f t="shared" si="0"/>
        <v/>
      </c>
      <c r="X62" s="118">
        <f t="shared" si="1"/>
        <v>1.1139437152824585</v>
      </c>
      <c r="Y62" s="118">
        <f t="shared" si="2"/>
        <v>1.1131465602219532</v>
      </c>
      <c r="Z62" s="133">
        <f t="shared" si="3"/>
        <v>1.0959634349438492</v>
      </c>
      <c r="AA62" s="624">
        <f t="shared" si="4"/>
        <v>1.3910573165662548</v>
      </c>
      <c r="AB62" s="39">
        <f t="shared" si="9"/>
        <v>1.1076845701494202</v>
      </c>
      <c r="AC62" s="314" t="s">
        <v>714</v>
      </c>
      <c r="AD62" s="625">
        <v>40185</v>
      </c>
      <c r="AE62" s="40" t="s">
        <v>556</v>
      </c>
      <c r="AF62" s="629" t="s">
        <v>426</v>
      </c>
      <c r="AG62" s="420" t="s">
        <v>425</v>
      </c>
      <c r="AH62" s="36"/>
    </row>
    <row r="63" spans="1:34">
      <c r="A63" s="98" t="s">
        <v>557</v>
      </c>
      <c r="B63" s="416">
        <v>2345.165</v>
      </c>
      <c r="C63" s="416">
        <v>2002.2460000000001</v>
      </c>
      <c r="D63" s="416">
        <v>282.18900000000002</v>
      </c>
      <c r="E63" s="628">
        <v>2779.875</v>
      </c>
      <c r="F63" s="416">
        <v>2353.5740000000001</v>
      </c>
      <c r="G63" s="417">
        <v>332.35899999999998</v>
      </c>
      <c r="H63" s="628">
        <v>3032.9609999999998</v>
      </c>
      <c r="I63" s="416">
        <v>2568.8159999999998</v>
      </c>
      <c r="J63" s="417">
        <v>380.77800000000002</v>
      </c>
      <c r="K63" s="412"/>
      <c r="L63" s="37"/>
      <c r="M63" s="106"/>
      <c r="N63" s="419">
        <f t="shared" si="15"/>
        <v>0.15303361962122164</v>
      </c>
      <c r="O63" s="67">
        <f t="shared" si="11"/>
        <v>1.1712671669714909</v>
      </c>
      <c r="P63" s="67">
        <f t="shared" si="12"/>
        <v>1.1811292102988902</v>
      </c>
      <c r="Q63" s="67">
        <f t="shared" si="13"/>
        <v>1.180684408692565</v>
      </c>
      <c r="R63" s="67" t="str">
        <f t="shared" si="14"/>
        <v/>
      </c>
      <c r="S63" s="623">
        <f t="shared" si="5"/>
        <v>60.729999999999848</v>
      </c>
      <c r="T63" s="122">
        <f t="shared" si="6"/>
        <v>93.94199999999995</v>
      </c>
      <c r="U63" s="122">
        <f t="shared" si="7"/>
        <v>83.366999999999962</v>
      </c>
      <c r="V63" s="126" t="str">
        <f t="shared" si="8"/>
        <v/>
      </c>
      <c r="W63" s="118">
        <f t="shared" si="0"/>
        <v>1.0303309383562258</v>
      </c>
      <c r="X63" s="118">
        <f t="shared" si="1"/>
        <v>1.0399146149643053</v>
      </c>
      <c r="Y63" s="118">
        <f t="shared" si="2"/>
        <v>1.0324534727282919</v>
      </c>
      <c r="Z63" s="133" t="str">
        <f t="shared" si="3"/>
        <v/>
      </c>
      <c r="AA63" s="624">
        <f t="shared" si="4"/>
        <v>1.1776935953209819</v>
      </c>
      <c r="AB63" s="39">
        <f t="shared" si="9"/>
        <v>1.034233008682941</v>
      </c>
      <c r="AC63" s="314" t="s">
        <v>715</v>
      </c>
      <c r="AD63" s="625">
        <v>40200</v>
      </c>
      <c r="AE63" s="41" t="s">
        <v>558</v>
      </c>
      <c r="AF63" s="626" t="s">
        <v>425</v>
      </c>
      <c r="AG63" s="627" t="s">
        <v>426</v>
      </c>
      <c r="AH63" s="36"/>
    </row>
    <row r="64" spans="1:34">
      <c r="A64" s="98" t="s">
        <v>559</v>
      </c>
      <c r="B64" s="416">
        <v>59490</v>
      </c>
      <c r="C64" s="416">
        <v>40366</v>
      </c>
      <c r="D64" s="416">
        <v>11852</v>
      </c>
      <c r="E64" s="628">
        <v>63367</v>
      </c>
      <c r="F64" s="416">
        <v>42929</v>
      </c>
      <c r="G64" s="417">
        <v>12670</v>
      </c>
      <c r="H64" s="628">
        <v>64948</v>
      </c>
      <c r="I64" s="416">
        <v>44157</v>
      </c>
      <c r="J64" s="417">
        <v>12954</v>
      </c>
      <c r="K64" s="412"/>
      <c r="L64" s="37"/>
      <c r="M64" s="106"/>
      <c r="N64" s="419">
        <f t="shared" si="15"/>
        <v>0.32011763256759251</v>
      </c>
      <c r="O64" s="67">
        <f t="shared" si="11"/>
        <v>1.4737650497943815</v>
      </c>
      <c r="P64" s="67">
        <f t="shared" si="12"/>
        <v>1.4760884250739594</v>
      </c>
      <c r="Q64" s="67">
        <f t="shared" si="13"/>
        <v>1.4708426750005661</v>
      </c>
      <c r="R64" s="67" t="str">
        <f t="shared" si="14"/>
        <v/>
      </c>
      <c r="S64" s="623">
        <f t="shared" si="5"/>
        <v>7272</v>
      </c>
      <c r="T64" s="122">
        <f t="shared" si="6"/>
        <v>7768</v>
      </c>
      <c r="U64" s="122">
        <f t="shared" si="7"/>
        <v>7837</v>
      </c>
      <c r="V64" s="126" t="str">
        <f t="shared" si="8"/>
        <v/>
      </c>
      <c r="W64" s="118">
        <f t="shared" si="0"/>
        <v>1.180151612743398</v>
      </c>
      <c r="X64" s="118">
        <f t="shared" si="1"/>
        <v>1.1809499405995947</v>
      </c>
      <c r="Y64" s="118">
        <f t="shared" si="2"/>
        <v>1.1774803541907286</v>
      </c>
      <c r="Z64" s="133" t="str">
        <f t="shared" si="3"/>
        <v/>
      </c>
      <c r="AA64" s="624">
        <f t="shared" si="4"/>
        <v>1.4735653832896356</v>
      </c>
      <c r="AB64" s="39">
        <f t="shared" si="9"/>
        <v>1.1795273025112403</v>
      </c>
      <c r="AC64" s="314" t="s">
        <v>716</v>
      </c>
      <c r="AD64" s="625">
        <v>40185</v>
      </c>
      <c r="AE64" s="40" t="s">
        <v>560</v>
      </c>
      <c r="AF64" s="629" t="s">
        <v>426</v>
      </c>
      <c r="AG64" s="420" t="s">
        <v>425</v>
      </c>
      <c r="AH64" s="36"/>
    </row>
    <row r="65" spans="1:34">
      <c r="A65" s="98" t="s">
        <v>561</v>
      </c>
      <c r="B65" s="416">
        <v>10973</v>
      </c>
      <c r="C65" s="416">
        <v>8145</v>
      </c>
      <c r="D65" s="416">
        <v>1407</v>
      </c>
      <c r="E65" s="628">
        <v>12615</v>
      </c>
      <c r="F65" s="416">
        <v>9267</v>
      </c>
      <c r="G65" s="417">
        <v>1579</v>
      </c>
      <c r="H65" s="628">
        <v>14246</v>
      </c>
      <c r="I65" s="416">
        <v>10757</v>
      </c>
      <c r="J65" s="417">
        <v>1639</v>
      </c>
      <c r="K65" s="412"/>
      <c r="L65" s="37"/>
      <c r="M65" s="106"/>
      <c r="N65" s="419">
        <f t="shared" si="15"/>
        <v>0.24491085216902991</v>
      </c>
      <c r="O65" s="67">
        <f t="shared" si="11"/>
        <v>1.347206875383671</v>
      </c>
      <c r="P65" s="67">
        <f t="shared" si="12"/>
        <v>1.3612819682745225</v>
      </c>
      <c r="Q65" s="67">
        <f t="shared" si="13"/>
        <v>1.3243469368783118</v>
      </c>
      <c r="R65" s="67" t="str">
        <f t="shared" si="14"/>
        <v/>
      </c>
      <c r="S65" s="623">
        <f t="shared" si="5"/>
        <v>1421</v>
      </c>
      <c r="T65" s="122">
        <f t="shared" si="6"/>
        <v>1769</v>
      </c>
      <c r="U65" s="122">
        <f t="shared" si="7"/>
        <v>1850</v>
      </c>
      <c r="V65" s="126" t="str">
        <f t="shared" si="8"/>
        <v/>
      </c>
      <c r="W65" s="118">
        <f t="shared" si="0"/>
        <v>1.1744628606507059</v>
      </c>
      <c r="X65" s="118">
        <f t="shared" si="1"/>
        <v>1.1908924139419446</v>
      </c>
      <c r="Y65" s="118">
        <f t="shared" si="2"/>
        <v>1.1719810356047224</v>
      </c>
      <c r="Z65" s="133" t="str">
        <f t="shared" si="3"/>
        <v/>
      </c>
      <c r="AA65" s="624">
        <f t="shared" si="4"/>
        <v>1.3442785935121684</v>
      </c>
      <c r="AB65" s="39">
        <f t="shared" si="9"/>
        <v>1.1791121033991243</v>
      </c>
      <c r="AC65" s="314" t="s">
        <v>717</v>
      </c>
      <c r="AD65" s="625">
        <v>40189</v>
      </c>
      <c r="AE65" s="69" t="s">
        <v>363</v>
      </c>
      <c r="AF65" s="626" t="s">
        <v>425</v>
      </c>
      <c r="AG65" s="420" t="s">
        <v>425</v>
      </c>
      <c r="AH65" s="36"/>
    </row>
    <row r="66" spans="1:34">
      <c r="A66" s="98" t="s">
        <v>0</v>
      </c>
      <c r="B66" s="416"/>
      <c r="C66" s="416"/>
      <c r="D66" s="416"/>
      <c r="E66" s="628">
        <v>79022</v>
      </c>
      <c r="F66" s="416">
        <v>52476</v>
      </c>
      <c r="G66" s="417">
        <v>16106</v>
      </c>
      <c r="H66" s="628">
        <v>77349</v>
      </c>
      <c r="I66" s="416">
        <v>51352</v>
      </c>
      <c r="J66" s="417">
        <v>17053</v>
      </c>
      <c r="K66" s="412">
        <v>71288</v>
      </c>
      <c r="L66" s="37">
        <v>47298</v>
      </c>
      <c r="M66" s="106">
        <v>17846</v>
      </c>
      <c r="N66" s="419">
        <f t="shared" si="15"/>
        <v>0.33652227583885086</v>
      </c>
      <c r="O66" s="67" t="str">
        <f t="shared" si="11"/>
        <v/>
      </c>
      <c r="P66" s="67">
        <f t="shared" si="12"/>
        <v>1.5058693497980029</v>
      </c>
      <c r="Q66" s="67">
        <f t="shared" si="13"/>
        <v>1.5062509736719114</v>
      </c>
      <c r="R66" s="67">
        <f t="shared" si="14"/>
        <v>1.5072096071715506</v>
      </c>
      <c r="S66" s="623" t="str">
        <f t="shared" si="5"/>
        <v/>
      </c>
      <c r="T66" s="122">
        <f t="shared" si="6"/>
        <v>10440</v>
      </c>
      <c r="U66" s="122">
        <f t="shared" si="7"/>
        <v>8944</v>
      </c>
      <c r="V66" s="126">
        <f t="shared" si="8"/>
        <v>6144</v>
      </c>
      <c r="W66" s="118" t="str">
        <f t="shared" ref="W66:W78" si="16">IF(S66="","",1+(S66/C66))</f>
        <v/>
      </c>
      <c r="X66" s="118">
        <f t="shared" ref="X66:X78" si="17">IF(T66="","",1+(T66/F66))</f>
        <v>1.1989480905556826</v>
      </c>
      <c r="Y66" s="118">
        <f t="shared" ref="Y66:Y78" si="18">IF(U66="","",1+(U66/I66))</f>
        <v>1.1741704315313912</v>
      </c>
      <c r="Z66" s="133">
        <f t="shared" ref="Z66:Z78" si="19">IF(V66="","",1+(V66/L66))</f>
        <v>1.1298997843460612</v>
      </c>
      <c r="AA66" s="624">
        <f t="shared" ref="AA66:AA78" si="20">AVERAGE(O66:R66)</f>
        <v>1.5064433102138217</v>
      </c>
      <c r="AB66" s="39">
        <f t="shared" si="9"/>
        <v>1.1676727688110449</v>
      </c>
      <c r="AC66" s="314" t="s">
        <v>718</v>
      </c>
      <c r="AD66" s="625">
        <v>40185</v>
      </c>
      <c r="AE66" s="40" t="s">
        <v>1</v>
      </c>
      <c r="AF66" s="629" t="s">
        <v>426</v>
      </c>
      <c r="AG66" s="420" t="s">
        <v>425</v>
      </c>
      <c r="AH66" s="36"/>
    </row>
    <row r="67" spans="1:34">
      <c r="A67" s="98" t="s">
        <v>2</v>
      </c>
      <c r="B67" s="414">
        <v>1364</v>
      </c>
      <c r="C67" s="414">
        <v>785</v>
      </c>
      <c r="D67" s="414">
        <v>80</v>
      </c>
      <c r="E67" s="621">
        <v>1737</v>
      </c>
      <c r="F67" s="414">
        <v>973</v>
      </c>
      <c r="G67" s="415">
        <v>108</v>
      </c>
      <c r="H67" s="621">
        <v>1674</v>
      </c>
      <c r="I67" s="414">
        <v>893</v>
      </c>
      <c r="J67" s="415">
        <v>1262</v>
      </c>
      <c r="K67" s="621">
        <v>1480</v>
      </c>
      <c r="L67" s="414">
        <v>749</v>
      </c>
      <c r="M67" s="415">
        <v>199</v>
      </c>
      <c r="N67" s="419">
        <f t="shared" si="15"/>
        <v>0.49391891891891893</v>
      </c>
      <c r="O67" s="67">
        <f t="shared" si="11"/>
        <v>1.737579617834395</v>
      </c>
      <c r="P67" s="67">
        <f t="shared" si="12"/>
        <v>1.7852004110996917</v>
      </c>
      <c r="Q67" s="67">
        <f t="shared" si="13"/>
        <v>1.8745800671892496</v>
      </c>
      <c r="R67" s="67">
        <f t="shared" si="14"/>
        <v>1.9759679572763684</v>
      </c>
      <c r="S67" s="623">
        <f t="shared" ref="S67:S78" si="21">IF(D67="","",B67-C67-D67)</f>
        <v>499</v>
      </c>
      <c r="T67" s="122">
        <f t="shared" ref="T67:T78" si="22">IF(G67="","",E67-F67-G67)</f>
        <v>656</v>
      </c>
      <c r="U67" s="122">
        <f t="shared" ref="U67:U78" si="23">IF(J67="","",H67-I67-J67)</f>
        <v>-481</v>
      </c>
      <c r="V67" s="126">
        <f t="shared" ref="V67:V78" si="24">IF(M67="","",K67-L67-M67)</f>
        <v>532</v>
      </c>
      <c r="W67" s="118">
        <f t="shared" si="16"/>
        <v>1.6356687898089173</v>
      </c>
      <c r="X67" s="118">
        <f t="shared" si="17"/>
        <v>1.6742034943473794</v>
      </c>
      <c r="Y67" s="118">
        <f t="shared" si="18"/>
        <v>0.4613661814109743</v>
      </c>
      <c r="Z67" s="133">
        <f t="shared" si="19"/>
        <v>1.7102803738317758</v>
      </c>
      <c r="AA67" s="624">
        <f t="shared" si="20"/>
        <v>1.843332013349926</v>
      </c>
      <c r="AB67" s="39">
        <f t="shared" si="9"/>
        <v>1.3703797098497617</v>
      </c>
      <c r="AC67" s="314" t="s">
        <v>719</v>
      </c>
      <c r="AD67" s="625">
        <v>40185</v>
      </c>
      <c r="AE67" s="40" t="s">
        <v>3</v>
      </c>
      <c r="AF67" s="626" t="s">
        <v>425</v>
      </c>
      <c r="AG67" s="627" t="s">
        <v>426</v>
      </c>
      <c r="AH67" s="36"/>
    </row>
    <row r="68" spans="1:34">
      <c r="A68" s="98" t="s">
        <v>4</v>
      </c>
      <c r="B68" s="416"/>
      <c r="C68" s="416"/>
      <c r="D68" s="416"/>
      <c r="E68" s="628">
        <v>1876.904</v>
      </c>
      <c r="F68" s="416">
        <v>1198.529</v>
      </c>
      <c r="G68" s="417">
        <v>454.726</v>
      </c>
      <c r="H68" s="628">
        <v>1878.184</v>
      </c>
      <c r="I68" s="416">
        <v>1225.4739999999999</v>
      </c>
      <c r="J68" s="417">
        <v>454.30099999999999</v>
      </c>
      <c r="K68" s="412">
        <v>1523.45</v>
      </c>
      <c r="L68" s="37">
        <v>1012.47</v>
      </c>
      <c r="M68" s="106">
        <v>395.77800000000002</v>
      </c>
      <c r="N68" s="419">
        <f t="shared" si="15"/>
        <v>0.33540976074042472</v>
      </c>
      <c r="O68" s="67" t="str">
        <f t="shared" si="11"/>
        <v/>
      </c>
      <c r="P68" s="67">
        <f t="shared" si="12"/>
        <v>1.5660063294254873</v>
      </c>
      <c r="Q68" s="67">
        <f t="shared" si="13"/>
        <v>1.5326183990847624</v>
      </c>
      <c r="R68" s="67">
        <f t="shared" si="14"/>
        <v>1.5046865586140823</v>
      </c>
      <c r="S68" s="623" t="str">
        <f t="shared" si="21"/>
        <v/>
      </c>
      <c r="T68" s="122">
        <f t="shared" si="22"/>
        <v>223.649</v>
      </c>
      <c r="U68" s="122">
        <f t="shared" si="23"/>
        <v>198.40900000000005</v>
      </c>
      <c r="V68" s="126">
        <f t="shared" si="24"/>
        <v>115.202</v>
      </c>
      <c r="W68" s="118" t="str">
        <f t="shared" si="16"/>
        <v/>
      </c>
      <c r="X68" s="118">
        <f t="shared" si="17"/>
        <v>1.1866029107347424</v>
      </c>
      <c r="Y68" s="118">
        <f t="shared" si="18"/>
        <v>1.1619038837217273</v>
      </c>
      <c r="Z68" s="133">
        <f t="shared" si="19"/>
        <v>1.113783124438255</v>
      </c>
      <c r="AA68" s="624">
        <f t="shared" si="20"/>
        <v>1.5344370957081106</v>
      </c>
      <c r="AB68" s="39">
        <f t="shared" ref="AB68:AB78" si="25">AVERAGE(W68:Z68)</f>
        <v>1.154096639631575</v>
      </c>
      <c r="AC68" s="314" t="s">
        <v>720</v>
      </c>
      <c r="AD68" s="625">
        <v>40200</v>
      </c>
      <c r="AE68" s="41" t="s">
        <v>558</v>
      </c>
      <c r="AF68" s="626" t="s">
        <v>425</v>
      </c>
      <c r="AG68" s="627" t="s">
        <v>426</v>
      </c>
      <c r="AH68" s="36"/>
    </row>
    <row r="69" spans="1:34">
      <c r="A69" s="98" t="s">
        <v>5</v>
      </c>
      <c r="B69" s="414">
        <v>6343506</v>
      </c>
      <c r="C69" s="414">
        <v>4659795</v>
      </c>
      <c r="D69" s="414">
        <v>1443101</v>
      </c>
      <c r="E69" s="621">
        <v>7116350</v>
      </c>
      <c r="F69" s="414">
        <v>5312179</v>
      </c>
      <c r="G69" s="415">
        <v>1545807</v>
      </c>
      <c r="H69" s="621">
        <v>7665332</v>
      </c>
      <c r="I69" s="414">
        <v>5756603</v>
      </c>
      <c r="J69" s="415">
        <v>1662336</v>
      </c>
      <c r="K69" s="621">
        <v>6654518</v>
      </c>
      <c r="L69" s="414">
        <v>5366087</v>
      </c>
      <c r="M69" s="415">
        <v>1538617</v>
      </c>
      <c r="N69" s="419">
        <f t="shared" si="15"/>
        <v>0.19361747913222266</v>
      </c>
      <c r="O69" s="67">
        <f t="shared" ref="O69:O78" si="26">IF(B69="","",B69/C69)</f>
        <v>1.3613272686888587</v>
      </c>
      <c r="P69" s="67">
        <f t="shared" ref="P69:P78" si="27">IF(E69="","",(E69/F69))</f>
        <v>1.3396291804173015</v>
      </c>
      <c r="Q69" s="67">
        <f t="shared" ref="Q69:Q78" si="28">IF(H69="","",(H69/I69))</f>
        <v>1.3315721094541346</v>
      </c>
      <c r="R69" s="67">
        <f t="shared" ref="R69:R78" si="29">IF(K69="","",(K69/L69))</f>
        <v>1.2401062450161542</v>
      </c>
      <c r="S69" s="623">
        <f t="shared" si="21"/>
        <v>240610</v>
      </c>
      <c r="T69" s="122">
        <f t="shared" si="22"/>
        <v>258364</v>
      </c>
      <c r="U69" s="122">
        <f t="shared" si="23"/>
        <v>246393</v>
      </c>
      <c r="V69" s="126">
        <f t="shared" si="24"/>
        <v>-250186</v>
      </c>
      <c r="W69" s="118">
        <f t="shared" si="16"/>
        <v>1.0516353187211025</v>
      </c>
      <c r="X69" s="118">
        <f t="shared" si="17"/>
        <v>1.0486361622979949</v>
      </c>
      <c r="Y69" s="118">
        <f t="shared" si="18"/>
        <v>1.0428018051618289</v>
      </c>
      <c r="Z69" s="133">
        <f t="shared" si="19"/>
        <v>0.9533764547611695</v>
      </c>
      <c r="AA69" s="624">
        <f t="shared" si="20"/>
        <v>1.318158700894112</v>
      </c>
      <c r="AB69" s="39">
        <f t="shared" si="25"/>
        <v>1.024112435235524</v>
      </c>
      <c r="AC69" s="314" t="s">
        <v>721</v>
      </c>
      <c r="AD69" s="625">
        <v>40185</v>
      </c>
      <c r="AE69" s="40" t="s">
        <v>6</v>
      </c>
      <c r="AF69" s="626" t="s">
        <v>425</v>
      </c>
      <c r="AG69" s="627" t="s">
        <v>426</v>
      </c>
      <c r="AH69" s="36"/>
    </row>
    <row r="70" spans="1:34">
      <c r="A70" s="98" t="s">
        <v>7</v>
      </c>
      <c r="B70" s="416"/>
      <c r="C70" s="416"/>
      <c r="D70" s="416"/>
      <c r="E70" s="628">
        <v>13050</v>
      </c>
      <c r="F70" s="416">
        <v>8638</v>
      </c>
      <c r="G70" s="417">
        <v>3506</v>
      </c>
      <c r="H70" s="628">
        <v>13794</v>
      </c>
      <c r="I70" s="416">
        <v>8987</v>
      </c>
      <c r="J70" s="417">
        <v>3801</v>
      </c>
      <c r="K70" s="412">
        <v>13724</v>
      </c>
      <c r="L70" s="37">
        <v>8976</v>
      </c>
      <c r="M70" s="106">
        <v>3856</v>
      </c>
      <c r="N70" s="419">
        <f t="shared" si="15"/>
        <v>0.34596327601282423</v>
      </c>
      <c r="O70" s="67" t="str">
        <f t="shared" si="26"/>
        <v/>
      </c>
      <c r="P70" s="67">
        <f t="shared" si="27"/>
        <v>1.5107663811067378</v>
      </c>
      <c r="Q70" s="67">
        <f t="shared" si="28"/>
        <v>1.5348837209302326</v>
      </c>
      <c r="R70" s="67">
        <f t="shared" si="29"/>
        <v>1.5289661319073085</v>
      </c>
      <c r="S70" s="623" t="str">
        <f t="shared" si="21"/>
        <v/>
      </c>
      <c r="T70" s="122">
        <f t="shared" si="22"/>
        <v>906</v>
      </c>
      <c r="U70" s="122">
        <f t="shared" si="23"/>
        <v>1006</v>
      </c>
      <c r="V70" s="126">
        <f t="shared" si="24"/>
        <v>892</v>
      </c>
      <c r="W70" s="118" t="str">
        <f t="shared" si="16"/>
        <v/>
      </c>
      <c r="X70" s="118">
        <f t="shared" si="17"/>
        <v>1.1048853901366056</v>
      </c>
      <c r="Y70" s="118">
        <f t="shared" si="18"/>
        <v>1.1119394681206187</v>
      </c>
      <c r="Z70" s="133">
        <f t="shared" si="19"/>
        <v>1.0993761140819964</v>
      </c>
      <c r="AA70" s="624">
        <f t="shared" si="20"/>
        <v>1.5248720779814262</v>
      </c>
      <c r="AB70" s="39">
        <f t="shared" si="25"/>
        <v>1.1054003241130737</v>
      </c>
      <c r="AC70" s="314" t="s">
        <v>722</v>
      </c>
      <c r="AD70" s="625">
        <v>40185</v>
      </c>
      <c r="AE70" s="40" t="s">
        <v>8</v>
      </c>
      <c r="AF70" s="629" t="s">
        <v>426</v>
      </c>
      <c r="AG70" s="420" t="s">
        <v>425</v>
      </c>
      <c r="AH70" s="36"/>
    </row>
    <row r="71" spans="1:34">
      <c r="A71" s="98" t="s">
        <v>9</v>
      </c>
      <c r="B71" s="416"/>
      <c r="C71" s="416"/>
      <c r="D71" s="416"/>
      <c r="E71" s="628">
        <v>18477</v>
      </c>
      <c r="F71" s="416">
        <f>8495+3722</f>
        <v>12217</v>
      </c>
      <c r="G71" s="417">
        <v>4776</v>
      </c>
      <c r="H71" s="628">
        <v>20199</v>
      </c>
      <c r="I71" s="416">
        <f>9200+3923</f>
        <v>13123</v>
      </c>
      <c r="J71" s="417">
        <v>4906</v>
      </c>
      <c r="K71" s="412">
        <v>17237</v>
      </c>
      <c r="L71" s="37">
        <f>7584+3559</f>
        <v>11143</v>
      </c>
      <c r="M71" s="106">
        <v>4657</v>
      </c>
      <c r="N71" s="419">
        <f t="shared" si="15"/>
        <v>0.35354179961710275</v>
      </c>
      <c r="O71" s="67" t="str">
        <f t="shared" si="26"/>
        <v/>
      </c>
      <c r="P71" s="67">
        <f t="shared" si="27"/>
        <v>1.51240075304903</v>
      </c>
      <c r="Q71" s="67">
        <f t="shared" si="28"/>
        <v>1.5392059742436943</v>
      </c>
      <c r="R71" s="67">
        <f t="shared" si="29"/>
        <v>1.5468904244817374</v>
      </c>
      <c r="S71" s="623" t="str">
        <f t="shared" si="21"/>
        <v/>
      </c>
      <c r="T71" s="122">
        <f t="shared" si="22"/>
        <v>1484</v>
      </c>
      <c r="U71" s="122">
        <f t="shared" si="23"/>
        <v>2170</v>
      </c>
      <c r="V71" s="126">
        <f t="shared" si="24"/>
        <v>1437</v>
      </c>
      <c r="W71" s="118" t="str">
        <f t="shared" si="16"/>
        <v/>
      </c>
      <c r="X71" s="118">
        <f t="shared" si="17"/>
        <v>1.121470082671687</v>
      </c>
      <c r="Y71" s="118">
        <f t="shared" si="18"/>
        <v>1.1653585308237446</v>
      </c>
      <c r="Z71" s="133">
        <f t="shared" si="19"/>
        <v>1.1289598851296778</v>
      </c>
      <c r="AA71" s="624">
        <f t="shared" si="20"/>
        <v>1.5328323839248206</v>
      </c>
      <c r="AB71" s="39">
        <f t="shared" si="25"/>
        <v>1.1385961662083697</v>
      </c>
      <c r="AC71" s="314" t="s">
        <v>723</v>
      </c>
      <c r="AD71" s="625">
        <v>40189</v>
      </c>
      <c r="AE71" s="40" t="s">
        <v>10</v>
      </c>
      <c r="AF71" s="626" t="s">
        <v>425</v>
      </c>
      <c r="AG71" s="420" t="s">
        <v>425</v>
      </c>
      <c r="AH71" s="36"/>
    </row>
    <row r="72" spans="1:34">
      <c r="A72" s="98" t="s">
        <v>11</v>
      </c>
      <c r="B72" s="416">
        <v>88182</v>
      </c>
      <c r="C72" s="416">
        <v>35309</v>
      </c>
      <c r="D72" s="416">
        <v>24955</v>
      </c>
      <c r="E72" s="628">
        <v>93469</v>
      </c>
      <c r="F72" s="416">
        <v>37547</v>
      </c>
      <c r="G72" s="417">
        <v>25967</v>
      </c>
      <c r="H72" s="628">
        <v>97354</v>
      </c>
      <c r="I72" s="416">
        <v>39007</v>
      </c>
      <c r="J72" s="417">
        <v>26898</v>
      </c>
      <c r="K72" s="412"/>
      <c r="L72" s="37"/>
      <c r="M72" s="106"/>
      <c r="N72" s="419">
        <f t="shared" si="15"/>
        <v>0.59932822482897463</v>
      </c>
      <c r="O72" s="67">
        <f t="shared" si="26"/>
        <v>2.4974369141012205</v>
      </c>
      <c r="P72" s="67">
        <f t="shared" si="27"/>
        <v>2.489386635416944</v>
      </c>
      <c r="Q72" s="67">
        <f t="shared" si="28"/>
        <v>2.4958084446381417</v>
      </c>
      <c r="R72" s="67" t="str">
        <f t="shared" si="29"/>
        <v/>
      </c>
      <c r="S72" s="623">
        <f t="shared" si="21"/>
        <v>27918</v>
      </c>
      <c r="T72" s="122">
        <f t="shared" si="22"/>
        <v>29955</v>
      </c>
      <c r="U72" s="122">
        <f t="shared" si="23"/>
        <v>31449</v>
      </c>
      <c r="V72" s="126" t="str">
        <f t="shared" si="24"/>
        <v/>
      </c>
      <c r="W72" s="118">
        <f t="shared" si="16"/>
        <v>1.7906765980344954</v>
      </c>
      <c r="X72" s="118">
        <f t="shared" si="17"/>
        <v>1.7978000905531735</v>
      </c>
      <c r="Y72" s="118">
        <f t="shared" si="18"/>
        <v>1.8062399056579588</v>
      </c>
      <c r="Z72" s="133" t="str">
        <f t="shared" si="19"/>
        <v/>
      </c>
      <c r="AA72" s="624">
        <f t="shared" si="20"/>
        <v>2.4942106647187687</v>
      </c>
      <c r="AB72" s="39">
        <f t="shared" si="25"/>
        <v>1.7982388647485426</v>
      </c>
      <c r="AC72" s="314" t="s">
        <v>724</v>
      </c>
      <c r="AD72" s="625">
        <v>40185</v>
      </c>
      <c r="AE72" s="40" t="s">
        <v>12</v>
      </c>
      <c r="AF72" s="629" t="s">
        <v>426</v>
      </c>
      <c r="AG72" s="420" t="s">
        <v>426</v>
      </c>
      <c r="AH72" s="36"/>
    </row>
    <row r="73" spans="1:34">
      <c r="A73" s="98" t="s">
        <v>13</v>
      </c>
      <c r="B73" s="416"/>
      <c r="C73" s="416"/>
      <c r="D73" s="416"/>
      <c r="E73" s="628"/>
      <c r="F73" s="416"/>
      <c r="G73" s="417"/>
      <c r="H73" s="628">
        <v>1552</v>
      </c>
      <c r="I73" s="416">
        <v>969</v>
      </c>
      <c r="J73" s="417">
        <f>248.5+54.3</f>
        <v>302.8</v>
      </c>
      <c r="K73" s="412">
        <v>1448.2</v>
      </c>
      <c r="L73" s="37">
        <v>920.7</v>
      </c>
      <c r="M73" s="106">
        <f>232.1+84.2</f>
        <v>316.3</v>
      </c>
      <c r="N73" s="419">
        <f t="shared" si="15"/>
        <v>0.3642452699903328</v>
      </c>
      <c r="O73" s="67" t="str">
        <f t="shared" si="26"/>
        <v/>
      </c>
      <c r="P73" s="67" t="str">
        <f t="shared" si="27"/>
        <v/>
      </c>
      <c r="Q73" s="67">
        <f t="shared" si="28"/>
        <v>1.6016511867905057</v>
      </c>
      <c r="R73" s="67">
        <f t="shared" si="29"/>
        <v>1.5729336374497664</v>
      </c>
      <c r="S73" s="623" t="str">
        <f t="shared" si="21"/>
        <v/>
      </c>
      <c r="T73" s="122" t="str">
        <f t="shared" si="22"/>
        <v/>
      </c>
      <c r="U73" s="122">
        <f t="shared" si="23"/>
        <v>280.2</v>
      </c>
      <c r="V73" s="126">
        <f t="shared" si="24"/>
        <v>211.2</v>
      </c>
      <c r="W73" s="118" t="str">
        <f t="shared" si="16"/>
        <v/>
      </c>
      <c r="X73" s="118" t="str">
        <f t="shared" si="17"/>
        <v/>
      </c>
      <c r="Y73" s="118">
        <f t="shared" si="18"/>
        <v>1.2891640866873064</v>
      </c>
      <c r="Z73" s="133">
        <f t="shared" si="19"/>
        <v>1.2293906810035842</v>
      </c>
      <c r="AA73" s="624">
        <f t="shared" si="20"/>
        <v>1.5872924121201359</v>
      </c>
      <c r="AB73" s="39">
        <f t="shared" si="25"/>
        <v>1.2592773838454452</v>
      </c>
      <c r="AC73" s="314" t="s">
        <v>725</v>
      </c>
      <c r="AD73" s="625">
        <v>40186</v>
      </c>
      <c r="AE73" s="40" t="s">
        <v>14</v>
      </c>
      <c r="AF73" s="626" t="s">
        <v>425</v>
      </c>
      <c r="AG73" s="627" t="s">
        <v>426</v>
      </c>
      <c r="AH73" s="36"/>
    </row>
    <row r="74" spans="1:34">
      <c r="A74" s="98" t="s">
        <v>15</v>
      </c>
      <c r="B74" s="416">
        <v>47409</v>
      </c>
      <c r="C74" s="416">
        <v>34240</v>
      </c>
      <c r="D74" s="416">
        <v>10467</v>
      </c>
      <c r="E74" s="628">
        <v>53762</v>
      </c>
      <c r="F74" s="416">
        <v>38518</v>
      </c>
      <c r="G74" s="417">
        <v>12093</v>
      </c>
      <c r="H74" s="628">
        <v>59034</v>
      </c>
      <c r="I74" s="416">
        <v>42391</v>
      </c>
      <c r="J74" s="417">
        <v>13202</v>
      </c>
      <c r="K74" s="412">
        <v>63335</v>
      </c>
      <c r="L74" s="37">
        <v>45722</v>
      </c>
      <c r="M74" s="106">
        <v>14366</v>
      </c>
      <c r="N74" s="419">
        <f t="shared" si="15"/>
        <v>0.27809268177153235</v>
      </c>
      <c r="O74" s="67">
        <f t="shared" si="26"/>
        <v>1.3846086448598132</v>
      </c>
      <c r="P74" s="67">
        <f t="shared" si="27"/>
        <v>1.3957630198868061</v>
      </c>
      <c r="Q74" s="67">
        <f t="shared" si="28"/>
        <v>1.3926069212804604</v>
      </c>
      <c r="R74" s="67">
        <f t="shared" si="29"/>
        <v>1.3852193692314423</v>
      </c>
      <c r="S74" s="623">
        <f t="shared" si="21"/>
        <v>2702</v>
      </c>
      <c r="T74" s="122">
        <f t="shared" si="22"/>
        <v>3151</v>
      </c>
      <c r="U74" s="122">
        <f t="shared" si="23"/>
        <v>3441</v>
      </c>
      <c r="V74" s="126">
        <f t="shared" si="24"/>
        <v>3247</v>
      </c>
      <c r="W74" s="118">
        <f t="shared" si="16"/>
        <v>1.0789135514018691</v>
      </c>
      <c r="X74" s="118">
        <f t="shared" si="17"/>
        <v>1.0818059089256971</v>
      </c>
      <c r="Y74" s="118">
        <f t="shared" si="18"/>
        <v>1.0811728904720341</v>
      </c>
      <c r="Z74" s="133">
        <f t="shared" si="19"/>
        <v>1.0710161410262018</v>
      </c>
      <c r="AA74" s="624">
        <f t="shared" si="20"/>
        <v>1.3895494888146305</v>
      </c>
      <c r="AB74" s="39">
        <f t="shared" si="25"/>
        <v>1.0782271229564504</v>
      </c>
      <c r="AC74" s="314" t="s">
        <v>726</v>
      </c>
      <c r="AD74" s="625">
        <v>40186</v>
      </c>
      <c r="AE74" s="40" t="s">
        <v>16</v>
      </c>
      <c r="AF74" s="629" t="s">
        <v>426</v>
      </c>
      <c r="AG74" s="420" t="s">
        <v>425</v>
      </c>
      <c r="AH74" s="36"/>
    </row>
    <row r="75" spans="1:34" ht="15">
      <c r="A75" s="98" t="s">
        <v>17</v>
      </c>
      <c r="B75" s="416"/>
      <c r="C75" s="416"/>
      <c r="D75" s="416"/>
      <c r="E75" s="628">
        <v>348368</v>
      </c>
      <c r="F75" s="416">
        <v>263979</v>
      </c>
      <c r="G75" s="417">
        <v>63892</v>
      </c>
      <c r="H75" s="628">
        <v>378476</v>
      </c>
      <c r="I75" s="416">
        <v>286350</v>
      </c>
      <c r="J75" s="417">
        <v>70174</v>
      </c>
      <c r="K75" s="412">
        <v>405607</v>
      </c>
      <c r="L75" s="37">
        <v>306158</v>
      </c>
      <c r="M75" s="106">
        <v>76651</v>
      </c>
      <c r="N75" s="419">
        <f t="shared" si="15"/>
        <v>0.24518561070198491</v>
      </c>
      <c r="O75" s="67" t="str">
        <f t="shared" si="26"/>
        <v/>
      </c>
      <c r="P75" s="67">
        <f t="shared" si="27"/>
        <v>1.3196807321794537</v>
      </c>
      <c r="Q75" s="67">
        <f t="shared" si="28"/>
        <v>1.3217251615156278</v>
      </c>
      <c r="R75" s="67">
        <f t="shared" si="29"/>
        <v>1.3248290098576552</v>
      </c>
      <c r="S75" s="623" t="str">
        <f t="shared" si="21"/>
        <v/>
      </c>
      <c r="T75" s="122">
        <f t="shared" si="22"/>
        <v>20497</v>
      </c>
      <c r="U75" s="122">
        <f t="shared" si="23"/>
        <v>21952</v>
      </c>
      <c r="V75" s="126">
        <f t="shared" si="24"/>
        <v>22798</v>
      </c>
      <c r="W75" s="118" t="str">
        <f t="shared" si="16"/>
        <v/>
      </c>
      <c r="X75" s="118">
        <f t="shared" si="17"/>
        <v>1.0776463279276003</v>
      </c>
      <c r="Y75" s="118">
        <f t="shared" si="18"/>
        <v>1.0766614283219835</v>
      </c>
      <c r="Z75" s="133">
        <f t="shared" si="19"/>
        <v>1.0744648188190411</v>
      </c>
      <c r="AA75" s="624">
        <f t="shared" si="20"/>
        <v>1.3220783011842456</v>
      </c>
      <c r="AB75" s="39">
        <f t="shared" si="25"/>
        <v>1.076257525022875</v>
      </c>
      <c r="AC75" s="294" t="s">
        <v>727</v>
      </c>
      <c r="AD75" s="625">
        <v>40310</v>
      </c>
      <c r="AE75" s="40" t="s">
        <v>589</v>
      </c>
      <c r="AF75" s="629" t="s">
        <v>426</v>
      </c>
      <c r="AG75" s="420" t="s">
        <v>425</v>
      </c>
      <c r="AH75" s="36"/>
    </row>
    <row r="76" spans="1:34">
      <c r="A76" s="98" t="s">
        <v>18</v>
      </c>
      <c r="B76" s="416"/>
      <c r="C76" s="416"/>
      <c r="D76" s="416"/>
      <c r="E76" s="628">
        <v>5468</v>
      </c>
      <c r="F76" s="416">
        <v>4568</v>
      </c>
      <c r="G76" s="417">
        <v>179</v>
      </c>
      <c r="H76" s="628">
        <v>8074</v>
      </c>
      <c r="I76" s="416">
        <v>6335</v>
      </c>
      <c r="J76" s="417">
        <v>220</v>
      </c>
      <c r="K76" s="412">
        <v>7453</v>
      </c>
      <c r="L76" s="37">
        <v>6116</v>
      </c>
      <c r="M76" s="106">
        <v>201</v>
      </c>
      <c r="N76" s="419">
        <f t="shared" si="15"/>
        <v>0.1793908493224205</v>
      </c>
      <c r="O76" s="67" t="str">
        <f t="shared" si="26"/>
        <v/>
      </c>
      <c r="P76" s="67">
        <f t="shared" si="27"/>
        <v>1.1970227670753064</v>
      </c>
      <c r="Q76" s="67">
        <f t="shared" si="28"/>
        <v>1.2745067087608524</v>
      </c>
      <c r="R76" s="67">
        <f t="shared" si="29"/>
        <v>1.2186069326357096</v>
      </c>
      <c r="S76" s="623" t="str">
        <f t="shared" si="21"/>
        <v/>
      </c>
      <c r="T76" s="122">
        <f t="shared" si="22"/>
        <v>721</v>
      </c>
      <c r="U76" s="122">
        <f t="shared" si="23"/>
        <v>1519</v>
      </c>
      <c r="V76" s="126">
        <f t="shared" si="24"/>
        <v>1136</v>
      </c>
      <c r="W76" s="118" t="str">
        <f t="shared" si="16"/>
        <v/>
      </c>
      <c r="X76" s="118">
        <f t="shared" si="17"/>
        <v>1.1578371278458843</v>
      </c>
      <c r="Y76" s="118">
        <f t="shared" si="18"/>
        <v>1.2397790055248619</v>
      </c>
      <c r="Z76" s="133">
        <f t="shared" si="19"/>
        <v>1.1857423152387181</v>
      </c>
      <c r="AA76" s="624">
        <f t="shared" si="20"/>
        <v>1.2300454694906229</v>
      </c>
      <c r="AB76" s="39">
        <f t="shared" si="25"/>
        <v>1.1944528162031547</v>
      </c>
      <c r="AC76" s="314" t="s">
        <v>728</v>
      </c>
      <c r="AD76" s="625">
        <v>40186</v>
      </c>
      <c r="AE76" s="40" t="s">
        <v>527</v>
      </c>
      <c r="AF76" s="626" t="s">
        <v>425</v>
      </c>
      <c r="AG76" s="627" t="s">
        <v>426</v>
      </c>
      <c r="AH76" s="36"/>
    </row>
    <row r="77" spans="1:34">
      <c r="A77" s="98" t="s">
        <v>19</v>
      </c>
      <c r="B77" s="416">
        <v>18080</v>
      </c>
      <c r="C77" s="416">
        <v>15420</v>
      </c>
      <c r="D77" s="416">
        <v>1752</v>
      </c>
      <c r="E77" s="628">
        <v>19408</v>
      </c>
      <c r="F77" s="416">
        <v>16517</v>
      </c>
      <c r="G77" s="417">
        <v>1736</v>
      </c>
      <c r="H77" s="628">
        <v>18907</v>
      </c>
      <c r="I77" s="416">
        <v>16383</v>
      </c>
      <c r="J77" s="417">
        <v>1798</v>
      </c>
      <c r="K77" s="412"/>
      <c r="L77" s="37"/>
      <c r="M77" s="106"/>
      <c r="N77" s="419">
        <f t="shared" si="15"/>
        <v>0.13349553075580473</v>
      </c>
      <c r="O77" s="67">
        <f t="shared" si="26"/>
        <v>1.1725032425421531</v>
      </c>
      <c r="P77" s="67">
        <f t="shared" si="27"/>
        <v>1.17503178543319</v>
      </c>
      <c r="Q77" s="67">
        <f t="shared" si="28"/>
        <v>1.1540621375816396</v>
      </c>
      <c r="R77" s="67" t="str">
        <f t="shared" si="29"/>
        <v/>
      </c>
      <c r="S77" s="623">
        <f t="shared" si="21"/>
        <v>908</v>
      </c>
      <c r="T77" s="122">
        <f t="shared" si="22"/>
        <v>1155</v>
      </c>
      <c r="U77" s="122">
        <f t="shared" si="23"/>
        <v>726</v>
      </c>
      <c r="V77" s="126" t="str">
        <f t="shared" si="24"/>
        <v/>
      </c>
      <c r="W77" s="118">
        <f t="shared" si="16"/>
        <v>1.0588845654993515</v>
      </c>
      <c r="X77" s="118">
        <f t="shared" si="17"/>
        <v>1.0699279530181025</v>
      </c>
      <c r="Y77" s="118">
        <f t="shared" si="18"/>
        <v>1.04431422816334</v>
      </c>
      <c r="Z77" s="133" t="str">
        <f t="shared" si="19"/>
        <v/>
      </c>
      <c r="AA77" s="624">
        <f t="shared" si="20"/>
        <v>1.1671990551856608</v>
      </c>
      <c r="AB77" s="39">
        <f t="shared" si="25"/>
        <v>1.0577089155602646</v>
      </c>
      <c r="AC77" s="314" t="s">
        <v>729</v>
      </c>
      <c r="AD77" s="625">
        <v>40200</v>
      </c>
      <c r="AE77" s="41" t="s">
        <v>20</v>
      </c>
      <c r="AF77" s="626" t="s">
        <v>425</v>
      </c>
      <c r="AG77" s="627" t="s">
        <v>426</v>
      </c>
      <c r="AH77" s="36"/>
    </row>
    <row r="78" spans="1:34">
      <c r="A78" s="98" t="s">
        <v>21</v>
      </c>
      <c r="B78" s="414"/>
      <c r="C78" s="414"/>
      <c r="D78" s="414"/>
      <c r="E78" s="621"/>
      <c r="F78" s="414"/>
      <c r="G78" s="415"/>
      <c r="H78" s="621">
        <v>548754</v>
      </c>
      <c r="I78" s="414">
        <v>343686</v>
      </c>
      <c r="J78" s="415">
        <v>172220</v>
      </c>
      <c r="K78" s="621">
        <v>459284</v>
      </c>
      <c r="L78" s="414">
        <v>290381</v>
      </c>
      <c r="M78" s="415">
        <v>155057</v>
      </c>
      <c r="N78" s="419">
        <f t="shared" si="15"/>
        <v>0.36775285008839848</v>
      </c>
      <c r="O78" s="67" t="str">
        <f t="shared" si="26"/>
        <v/>
      </c>
      <c r="P78" s="67" t="str">
        <f t="shared" si="27"/>
        <v/>
      </c>
      <c r="Q78" s="67">
        <f t="shared" si="28"/>
        <v>1.5966725441245788</v>
      </c>
      <c r="R78" s="67">
        <f t="shared" si="29"/>
        <v>1.5816599570908565</v>
      </c>
      <c r="S78" s="623" t="str">
        <f t="shared" si="21"/>
        <v/>
      </c>
      <c r="T78" s="122" t="str">
        <f t="shared" si="22"/>
        <v/>
      </c>
      <c r="U78" s="122">
        <f t="shared" si="23"/>
        <v>32848</v>
      </c>
      <c r="V78" s="126">
        <f t="shared" si="24"/>
        <v>13846</v>
      </c>
      <c r="W78" s="118" t="str">
        <f t="shared" si="16"/>
        <v/>
      </c>
      <c r="X78" s="118" t="str">
        <f t="shared" si="17"/>
        <v/>
      </c>
      <c r="Y78" s="118">
        <f t="shared" si="18"/>
        <v>1.0955756126231502</v>
      </c>
      <c r="Z78" s="133">
        <f t="shared" si="19"/>
        <v>1.0476821830629415</v>
      </c>
      <c r="AA78" s="624">
        <f t="shared" si="20"/>
        <v>1.5891662506077178</v>
      </c>
      <c r="AB78" s="39">
        <f t="shared" si="25"/>
        <v>1.0716288978430457</v>
      </c>
      <c r="AC78" t="s">
        <v>730</v>
      </c>
      <c r="AD78" s="625">
        <v>40190</v>
      </c>
      <c r="AE78" s="40" t="s">
        <v>22</v>
      </c>
      <c r="AF78" s="626" t="s">
        <v>425</v>
      </c>
      <c r="AG78" s="420" t="s">
        <v>425</v>
      </c>
      <c r="AH78" s="36"/>
    </row>
    <row r="79" spans="1:34" ht="13.5" thickBot="1">
      <c r="A79" s="98"/>
      <c r="B79" s="65"/>
      <c r="C79" s="65"/>
      <c r="D79" s="65"/>
      <c r="E79" s="314"/>
      <c r="F79" s="65"/>
      <c r="G79" s="40"/>
      <c r="H79" s="314"/>
      <c r="I79" s="65"/>
      <c r="J79" s="40"/>
      <c r="K79" s="412"/>
      <c r="L79" s="37"/>
      <c r="M79" s="106"/>
      <c r="N79" s="38"/>
      <c r="O79" s="38"/>
      <c r="P79" s="38"/>
      <c r="Q79" s="38"/>
      <c r="R79" s="38"/>
      <c r="S79" s="412"/>
      <c r="T79" s="37"/>
      <c r="U79" s="37"/>
      <c r="V79" s="106"/>
      <c r="W79" s="119"/>
      <c r="X79" s="119"/>
      <c r="Y79" s="119"/>
      <c r="Z79" s="134"/>
      <c r="AA79" s="633"/>
      <c r="AB79" s="43"/>
      <c r="AC79" s="314"/>
      <c r="AD79" s="79"/>
      <c r="AE79" s="40"/>
      <c r="AF79" s="626"/>
      <c r="AG79" s="420"/>
      <c r="AH79" s="36"/>
    </row>
    <row r="80" spans="1:34">
      <c r="A80" s="101" t="s">
        <v>23</v>
      </c>
      <c r="B80" s="88"/>
      <c r="C80" s="88"/>
      <c r="D80" s="88"/>
      <c r="E80" s="87"/>
      <c r="F80" s="88"/>
      <c r="G80" s="112"/>
      <c r="H80" s="87"/>
      <c r="I80" s="88"/>
      <c r="J80" s="112"/>
      <c r="K80" s="634"/>
      <c r="L80" s="89"/>
      <c r="M80" s="108"/>
      <c r="N80" s="90"/>
      <c r="O80" s="90"/>
      <c r="P80" s="91"/>
      <c r="Q80" s="91"/>
      <c r="R80" s="91"/>
      <c r="S80" s="634"/>
      <c r="T80" s="89"/>
      <c r="U80" s="89"/>
      <c r="V80" s="108"/>
      <c r="W80" s="120"/>
      <c r="X80" s="120"/>
      <c r="Y80" s="120"/>
      <c r="Z80" s="135"/>
      <c r="AA80" s="128"/>
      <c r="AB80" s="92"/>
      <c r="AC80" s="93"/>
      <c r="AD80" s="94"/>
      <c r="AE80" s="95"/>
      <c r="AF80" s="635"/>
      <c r="AG80" s="636"/>
      <c r="AH80" s="36"/>
    </row>
    <row r="81" spans="1:34">
      <c r="A81" s="100" t="s">
        <v>24</v>
      </c>
      <c r="B81" s="37">
        <v>13577.111999999999</v>
      </c>
      <c r="C81" s="37">
        <v>11545.718999999999</v>
      </c>
      <c r="D81" s="37">
        <v>1362.1489999999999</v>
      </c>
      <c r="E81" s="412">
        <v>15984.992</v>
      </c>
      <c r="F81" s="37">
        <v>13699.715</v>
      </c>
      <c r="G81" s="106">
        <v>1519.9079999999999</v>
      </c>
      <c r="H81" s="412">
        <v>16761.008999999998</v>
      </c>
      <c r="I81" s="37">
        <v>14478.296</v>
      </c>
      <c r="J81" s="106">
        <v>1607.261</v>
      </c>
      <c r="K81" s="412"/>
      <c r="L81" s="37"/>
      <c r="M81" s="106"/>
      <c r="N81" s="419">
        <f>IF(K81="",((H81-I81)/H81),((K81-L81)/K81))</f>
        <v>0.13619186052581908</v>
      </c>
      <c r="O81" s="67">
        <f>IF(B81="","",B81/C81)</f>
        <v>1.1759433951233353</v>
      </c>
      <c r="P81" s="67">
        <f>IF(E81="","",(E81/F81))</f>
        <v>1.1668120103228425</v>
      </c>
      <c r="Q81" s="67">
        <f>IF(H81="","",(H81/I81))</f>
        <v>1.1576644793006026</v>
      </c>
      <c r="R81" s="67" t="str">
        <f>IF(K81="","",(K81/L81))</f>
        <v/>
      </c>
      <c r="S81" s="623">
        <f>IF(D81="","",B81-C81-D81)</f>
        <v>669.24400000000014</v>
      </c>
      <c r="T81" s="122">
        <f>IF(G81="","",E81-F81-G81)</f>
        <v>765.36900000000014</v>
      </c>
      <c r="U81" s="122">
        <f>IF(J81="","",H81-I81-J81)</f>
        <v>675.45199999999795</v>
      </c>
      <c r="V81" s="126" t="str">
        <f>IF(M81="","",K81-L81-M81)</f>
        <v/>
      </c>
      <c r="W81" s="118">
        <f>IF(S81="","",1+(S81/C81))</f>
        <v>1.0579646880371851</v>
      </c>
      <c r="X81" s="118">
        <f>IF(T81="","",1+(T81/F81))</f>
        <v>1.0558675125723418</v>
      </c>
      <c r="Y81" s="118">
        <f>IF(U81="","",1+(U81/I81))</f>
        <v>1.0466527276414295</v>
      </c>
      <c r="Z81" s="133" t="str">
        <f>IF(V81="","",1+(V81/L81))</f>
        <v/>
      </c>
      <c r="AA81" s="624">
        <f>AVERAGE(O81:R81)</f>
        <v>1.1668066282489269</v>
      </c>
      <c r="AB81" s="39">
        <f>AVERAGE(W81:Z81)</f>
        <v>1.0534949760836521</v>
      </c>
      <c r="AC81" s="314" t="s">
        <v>731</v>
      </c>
      <c r="AD81" s="42">
        <v>40198</v>
      </c>
      <c r="AE81" s="41" t="s">
        <v>463</v>
      </c>
      <c r="AF81" s="626"/>
      <c r="AG81" s="420"/>
      <c r="AH81" s="36"/>
    </row>
    <row r="82" spans="1:34">
      <c r="A82" s="100" t="s">
        <v>25</v>
      </c>
      <c r="B82" s="37"/>
      <c r="C82" s="37"/>
      <c r="D82" s="37"/>
      <c r="E82" s="412">
        <v>15681.087</v>
      </c>
      <c r="F82" s="37">
        <v>13632.468000000001</v>
      </c>
      <c r="G82" s="106">
        <v>1362.9929999999999</v>
      </c>
      <c r="H82" s="412">
        <v>17952.706999999999</v>
      </c>
      <c r="I82" s="37">
        <v>15638.991</v>
      </c>
      <c r="J82" s="106">
        <v>1564.3910000000001</v>
      </c>
      <c r="K82" s="412">
        <v>16229.9</v>
      </c>
      <c r="L82" s="37">
        <v>14206.9</v>
      </c>
      <c r="M82" s="106">
        <v>1531.8130000000001</v>
      </c>
      <c r="N82" s="419">
        <f>IF(K82="",((H82-I82)/H82),((K82-L82)/K82))</f>
        <v>0.12464648580705981</v>
      </c>
      <c r="O82" s="67" t="str">
        <f>IF(B82="","",B82/C82)</f>
        <v/>
      </c>
      <c r="P82" s="67">
        <f>IF(E82="","",(E82/F82))</f>
        <v>1.1502749905593028</v>
      </c>
      <c r="Q82" s="67">
        <f>IF(H82="","",(H82/I82))</f>
        <v>1.1479453501827579</v>
      </c>
      <c r="R82" s="67">
        <f>IF(K82="","",(K82/L82))</f>
        <v>1.1423955965059231</v>
      </c>
      <c r="S82" s="623" t="str">
        <f>IF(D82="","",B82-C82-D82)</f>
        <v/>
      </c>
      <c r="T82" s="122">
        <f>IF(G82="","",E82-F82-G82)</f>
        <v>685.62599999999884</v>
      </c>
      <c r="U82" s="122">
        <f>IF(J82="","",H82-I82-J82)</f>
        <v>749.32499999999845</v>
      </c>
      <c r="V82" s="126">
        <f>IF(M82="","",K82-L82-M82)</f>
        <v>491.1869999999999</v>
      </c>
      <c r="W82" s="118" t="str">
        <f>IF(S82="","",1+(S82/C82))</f>
        <v/>
      </c>
      <c r="X82" s="118">
        <f>IF(T82="","",1+(T82/F82))</f>
        <v>1.0502936078778984</v>
      </c>
      <c r="Y82" s="118">
        <f>IF(U82="","",1+(U82/I82))</f>
        <v>1.0479138967469193</v>
      </c>
      <c r="Z82" s="133">
        <f>IF(V82="","",1+(V82/L82))</f>
        <v>1.0345738338413024</v>
      </c>
      <c r="AA82" s="624">
        <f>AVERAGE(O82:R82)</f>
        <v>1.1468719790826614</v>
      </c>
      <c r="AB82" s="39">
        <f>AVERAGE(W82:Z82)</f>
        <v>1.0442604461553735</v>
      </c>
      <c r="AC82" s="314" t="s">
        <v>732</v>
      </c>
      <c r="AD82" s="42">
        <v>40198</v>
      </c>
      <c r="AE82" s="41" t="s">
        <v>26</v>
      </c>
      <c r="AF82" s="626"/>
      <c r="AG82" s="420"/>
      <c r="AH82" s="36"/>
    </row>
    <row r="83" spans="1:34">
      <c r="A83" s="100" t="s">
        <v>27</v>
      </c>
      <c r="B83" s="37">
        <v>3372.8760000000002</v>
      </c>
      <c r="C83" s="37">
        <v>3098.1350000000002</v>
      </c>
      <c r="D83" s="37">
        <v>238.166</v>
      </c>
      <c r="E83" s="412">
        <v>3949.9050000000002</v>
      </c>
      <c r="F83" s="37">
        <v>3609.3620000000001</v>
      </c>
      <c r="G83" s="106">
        <v>293.77999999999997</v>
      </c>
      <c r="H83" s="412">
        <v>3579.4989999999998</v>
      </c>
      <c r="I83" s="37">
        <v>3244.0529999999999</v>
      </c>
      <c r="J83" s="106">
        <v>307.04599999999999</v>
      </c>
      <c r="K83" s="412"/>
      <c r="L83" s="37"/>
      <c r="M83" s="106"/>
      <c r="N83" s="419">
        <f>IF(K83="",((H83-I83)/H83),((K83-L83)/K83))</f>
        <v>9.3713114600674538E-2</v>
      </c>
      <c r="O83" s="67">
        <f>IF(B83="","",B83/C83)</f>
        <v>1.088679479751528</v>
      </c>
      <c r="P83" s="67">
        <f>IF(E83="","",(E83/F83))</f>
        <v>1.0943499155806484</v>
      </c>
      <c r="Q83" s="67">
        <f>IF(H83="","",(H83/I83))</f>
        <v>1.1034033660979028</v>
      </c>
      <c r="R83" s="67" t="str">
        <f>IF(K83="","",(K83/L83))</f>
        <v/>
      </c>
      <c r="S83" s="623">
        <f>IF(D83="","",B83-C83-D83)</f>
        <v>36.574999999999989</v>
      </c>
      <c r="T83" s="122">
        <f>IF(G83="","",E83-F83-G83)</f>
        <v>46.763000000000147</v>
      </c>
      <c r="U83" s="122">
        <f>IF(J83="","",H83-I83-J83)</f>
        <v>28.39999999999992</v>
      </c>
      <c r="V83" s="126" t="str">
        <f>IF(M83="","",K83-L83-M83)</f>
        <v/>
      </c>
      <c r="W83" s="118">
        <f>IF(S83="","",1+(S83/C83))</f>
        <v>1.0118054894315451</v>
      </c>
      <c r="X83" s="118">
        <f>IF(T83="","",1+(T83/F83))</f>
        <v>1.012956029348123</v>
      </c>
      <c r="Y83" s="118">
        <f>IF(U83="","",1+(U83/I83))</f>
        <v>1.00875448089165</v>
      </c>
      <c r="Z83" s="133" t="str">
        <f>IF(V83="","",1+(V83/L83))</f>
        <v/>
      </c>
      <c r="AA83" s="624">
        <f>AVERAGE(O83:R83)</f>
        <v>1.0954775871433597</v>
      </c>
      <c r="AB83" s="39">
        <f>AVERAGE(W83:Z83)</f>
        <v>1.0111719998904392</v>
      </c>
      <c r="AC83" s="314" t="s">
        <v>733</v>
      </c>
      <c r="AD83" s="42">
        <v>40198</v>
      </c>
      <c r="AE83" s="41" t="s">
        <v>471</v>
      </c>
      <c r="AF83" s="626"/>
      <c r="AG83" s="420"/>
      <c r="AH83" s="36"/>
    </row>
    <row r="84" spans="1:34" ht="13.5" thickBot="1">
      <c r="A84" s="102" t="s">
        <v>28</v>
      </c>
      <c r="B84" s="81"/>
      <c r="C84" s="81"/>
      <c r="D84" s="81"/>
      <c r="E84" s="80">
        <v>668.59100000000001</v>
      </c>
      <c r="F84" s="81">
        <v>554.26599999999996</v>
      </c>
      <c r="G84" s="109">
        <v>94.891000000000005</v>
      </c>
      <c r="H84" s="80">
        <v>747.17</v>
      </c>
      <c r="I84" s="81">
        <v>626.77099999999996</v>
      </c>
      <c r="J84" s="109">
        <v>112.473</v>
      </c>
      <c r="K84" s="80">
        <v>750.95</v>
      </c>
      <c r="L84" s="81">
        <v>637.26</v>
      </c>
      <c r="M84" s="109">
        <v>113.01</v>
      </c>
      <c r="N84" s="637">
        <f>IF(K84="",((H84-I84)/H84),((K84-L84)/K84))</f>
        <v>0.15139489979359486</v>
      </c>
      <c r="O84" s="82" t="str">
        <f>IF(B84="","",B84/C84)</f>
        <v/>
      </c>
      <c r="P84" s="82">
        <f>IF(E84="","",(E84/F84))</f>
        <v>1.2062637794849405</v>
      </c>
      <c r="Q84" s="82">
        <f>IF(H84="","",(H84/I84))</f>
        <v>1.1920940822086536</v>
      </c>
      <c r="R84" s="82">
        <f>IF(K84="","",(K84/L84))</f>
        <v>1.1784044189184948</v>
      </c>
      <c r="S84" s="638" t="str">
        <f>IF(D84="","",B84-C84-D84)</f>
        <v/>
      </c>
      <c r="T84" s="123">
        <f>IF(G84="","",E84-F84-G84)</f>
        <v>19.43400000000004</v>
      </c>
      <c r="U84" s="123">
        <f>IF(J84="","",H84-I84-J84)</f>
        <v>7.9260000000000019</v>
      </c>
      <c r="V84" s="127">
        <f>IF(M84="","",K84-L84-M84)</f>
        <v>0.68000000000004945</v>
      </c>
      <c r="W84" s="121" t="str">
        <f>IF(S84="","",1+(S84/C84))</f>
        <v/>
      </c>
      <c r="X84" s="121">
        <f>IF(T84="","",1+(T84/F84))</f>
        <v>1.0350625872775887</v>
      </c>
      <c r="Y84" s="121">
        <f>IF(U84="","",1+(U84/I84))</f>
        <v>1.0126457669547571</v>
      </c>
      <c r="Z84" s="137">
        <f>IF(V84="","",1+(V84/L84))</f>
        <v>1.0010670683865299</v>
      </c>
      <c r="AA84" s="129">
        <f>AVERAGE(O84:R84)</f>
        <v>1.1922540935373629</v>
      </c>
      <c r="AB84" s="83">
        <f>AVERAGE(W84:Z84)</f>
        <v>1.0162584742062919</v>
      </c>
      <c r="AC84" s="84" t="s">
        <v>734</v>
      </c>
      <c r="AD84" s="85">
        <v>40198</v>
      </c>
      <c r="AE84" s="86" t="s">
        <v>29</v>
      </c>
      <c r="AF84" s="639"/>
      <c r="AG84" s="640"/>
      <c r="AH84" s="36"/>
    </row>
    <row r="85" spans="1:34" ht="13.5" thickTop="1"/>
    <row r="98" spans="11:11">
      <c r="K98" s="71"/>
    </row>
  </sheetData>
  <phoneticPr fontId="13" type="noConversion"/>
  <pageMargins left="0.75" right="0.75" top="1" bottom="1" header="0.5" footer="0.5"/>
  <pageSetup scale="16"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B1:V140"/>
  <sheetViews>
    <sheetView topLeftCell="T1" zoomScale="70" zoomScaleNormal="70" zoomScaleSheetLayoutView="70" workbookViewId="0">
      <selection activeCell="U62" sqref="U62"/>
    </sheetView>
  </sheetViews>
  <sheetFormatPr defaultRowHeight="12.75"/>
  <cols>
    <col min="1" max="1" width="9.140625" style="29"/>
    <col min="2" max="2" width="20.7109375" style="29" bestFit="1" customWidth="1"/>
    <col min="3" max="3" width="12.85546875" style="29" customWidth="1"/>
    <col min="4" max="4" width="9.140625" style="29"/>
    <col min="5" max="5" width="17.7109375" style="29" bestFit="1" customWidth="1"/>
    <col min="6" max="6" width="14.28515625" style="29" customWidth="1"/>
    <col min="7" max="7" width="9.140625" style="29"/>
    <col min="8" max="8" width="22" style="29" bestFit="1" customWidth="1"/>
    <col min="9" max="9" width="10" style="29" customWidth="1"/>
    <col min="10" max="10" width="9.140625" style="29"/>
    <col min="11" max="11" width="21.140625" style="29" bestFit="1" customWidth="1"/>
    <col min="12" max="12" width="9.5703125" style="29" bestFit="1" customWidth="1"/>
    <col min="13" max="13" width="9.140625" style="29"/>
    <col min="14" max="14" width="20.7109375" style="29" bestFit="1" customWidth="1"/>
    <col min="15" max="15" width="9.7109375" style="29" customWidth="1"/>
    <col min="16" max="17" width="9.140625" style="29"/>
    <col min="18" max="18" width="30.28515625" style="29" bestFit="1" customWidth="1"/>
    <col min="19" max="19" width="24.5703125" style="29" customWidth="1"/>
    <col min="20" max="20" width="18.7109375" style="29" bestFit="1" customWidth="1"/>
    <col min="21" max="21" width="22" style="29" bestFit="1" customWidth="1"/>
    <col min="22" max="22" width="206.5703125" style="29" bestFit="1" customWidth="1"/>
    <col min="23" max="16384" width="9.140625" style="29"/>
  </cols>
  <sheetData>
    <row r="1" spans="2:22" ht="13.5" thickBot="1"/>
    <row r="2" spans="2:22" ht="15.75" thickBot="1">
      <c r="B2" s="1196" t="s">
        <v>150</v>
      </c>
      <c r="C2" s="1197"/>
      <c r="E2" s="1196" t="s">
        <v>30</v>
      </c>
      <c r="F2" s="1197"/>
      <c r="H2" s="1196" t="s">
        <v>31</v>
      </c>
      <c r="I2" s="1197"/>
      <c r="K2" s="1196" t="s">
        <v>32</v>
      </c>
      <c r="L2" s="1197"/>
      <c r="N2" s="1196" t="s">
        <v>33</v>
      </c>
      <c r="O2" s="1197"/>
      <c r="R2" s="1198" t="s">
        <v>34</v>
      </c>
      <c r="S2" s="1199"/>
      <c r="T2" s="1199"/>
      <c r="U2" s="1199"/>
      <c r="V2" s="1200"/>
    </row>
    <row r="3" spans="2:22">
      <c r="B3" s="44" t="s">
        <v>35</v>
      </c>
      <c r="C3" s="45" t="s">
        <v>420</v>
      </c>
      <c r="E3" s="44" t="s">
        <v>35</v>
      </c>
      <c r="F3" s="45" t="s">
        <v>420</v>
      </c>
      <c r="H3" s="44" t="s">
        <v>35</v>
      </c>
      <c r="I3" s="45" t="s">
        <v>420</v>
      </c>
      <c r="K3" s="44" t="s">
        <v>35</v>
      </c>
      <c r="L3" s="45" t="s">
        <v>420</v>
      </c>
      <c r="N3" s="44" t="s">
        <v>35</v>
      </c>
      <c r="O3" s="45" t="s">
        <v>420</v>
      </c>
      <c r="R3" s="46" t="s">
        <v>36</v>
      </c>
      <c r="S3" s="47" t="s">
        <v>37</v>
      </c>
      <c r="T3" s="47" t="s">
        <v>38</v>
      </c>
      <c r="U3" s="47" t="s">
        <v>39</v>
      </c>
      <c r="V3" s="48" t="s">
        <v>40</v>
      </c>
    </row>
    <row r="4" spans="2:22">
      <c r="B4" s="74" t="s">
        <v>428</v>
      </c>
      <c r="C4" s="75">
        <f t="shared" ref="C4:C16" si="0">IF(B4="","",VLOOKUP(B4,Markups,27,FALSE))</f>
        <v>1.5327996852851846</v>
      </c>
      <c r="D4" s="50"/>
      <c r="E4" s="74" t="s">
        <v>428</v>
      </c>
      <c r="F4" s="75">
        <f t="shared" ref="F4:F16" si="1">IF(E4="","",VLOOKUP(E4,Markups,27,FALSE))</f>
        <v>1.5327996852851846</v>
      </c>
      <c r="G4" s="50"/>
      <c r="H4" s="74" t="s">
        <v>507</v>
      </c>
      <c r="I4" s="75">
        <f t="shared" ref="I4:I16" si="2">IF(H4="","",VLOOKUP(H4,Markups,27,FALSE))</f>
        <v>1.393885260920575</v>
      </c>
      <c r="J4" s="50"/>
      <c r="K4" s="74" t="s">
        <v>424</v>
      </c>
      <c r="L4" s="75">
        <f t="shared" ref="L4:L16" si="3">IF(K4="","",VLOOKUP(K4,Markups,27,FALSE))</f>
        <v>1.1157547019162559</v>
      </c>
      <c r="M4" s="50"/>
      <c r="N4" s="74" t="s">
        <v>464</v>
      </c>
      <c r="O4" s="75">
        <f t="shared" ref="O4:O16" si="4">IF(N4="","",VLOOKUP(N4,Markups,27,FALSE))</f>
        <v>1.7280760501997601</v>
      </c>
      <c r="R4" s="138" t="str">
        <f>B2</f>
        <v>Portable Audio &amp; Accessories</v>
      </c>
      <c r="S4" s="139">
        <f>C17</f>
        <v>1.4240901186204276</v>
      </c>
      <c r="T4" s="139">
        <f>C33</f>
        <v>1.4815203429997794</v>
      </c>
      <c r="U4" s="139">
        <f>C35</f>
        <v>2.1098184810011325</v>
      </c>
      <c r="V4" s="140" t="str">
        <f>CONCATENATE(C18,", ",C34)</f>
        <v>Apple, JVC Kenwood Holdings, Logitech, Sandisk, Sony, Apple, Best Buy, Radioshack, Staples, Target, Walmart</v>
      </c>
    </row>
    <row r="5" spans="2:22">
      <c r="B5" s="76" t="s">
        <v>492</v>
      </c>
      <c r="C5" s="75">
        <f t="shared" si="0"/>
        <v>1.4338793817725668</v>
      </c>
      <c r="D5" s="50"/>
      <c r="E5" s="76" t="s">
        <v>507</v>
      </c>
      <c r="F5" s="75">
        <f t="shared" si="1"/>
        <v>1.393885260920575</v>
      </c>
      <c r="G5" s="50"/>
      <c r="H5" s="76" t="s">
        <v>530</v>
      </c>
      <c r="I5" s="75">
        <f t="shared" si="2"/>
        <v>1.4055682504259679</v>
      </c>
      <c r="J5" s="50"/>
      <c r="K5" s="76" t="s">
        <v>428</v>
      </c>
      <c r="L5" s="75">
        <f t="shared" si="3"/>
        <v>1.5327996852851846</v>
      </c>
      <c r="M5" s="50"/>
      <c r="N5" s="76" t="s">
        <v>466</v>
      </c>
      <c r="O5" s="75">
        <f t="shared" si="4"/>
        <v>1.9624652325263074</v>
      </c>
      <c r="R5" s="138" t="str">
        <f>E2</f>
        <v>Mobile Telephony</v>
      </c>
      <c r="S5" s="139">
        <f>F17</f>
        <v>1.5199562981349306</v>
      </c>
      <c r="T5" s="139">
        <f>F33</f>
        <v>1.4109479819420827</v>
      </c>
      <c r="U5" s="139">
        <f>F35</f>
        <v>2.1445792714936389</v>
      </c>
      <c r="V5" s="140" t="str">
        <f>CONCATENATE(F18,", ",F34)</f>
        <v xml:space="preserve">Apple, Motorola, Nokia, Research In Motion, Samsung, Amazon.com, Costco Wholesale, Radioshack, Sears, Target, Walmart, , , </v>
      </c>
    </row>
    <row r="6" spans="2:22">
      <c r="B6" s="76" t="s">
        <v>500</v>
      </c>
      <c r="C6" s="75">
        <f t="shared" si="0"/>
        <v>1.5121471913546494</v>
      </c>
      <c r="D6" s="50"/>
      <c r="E6" s="76" t="s">
        <v>519</v>
      </c>
      <c r="F6" s="75">
        <f t="shared" si="1"/>
        <v>1.5049463918984129</v>
      </c>
      <c r="G6" s="50"/>
      <c r="H6" s="76" t="s">
        <v>533</v>
      </c>
      <c r="I6" s="75">
        <f t="shared" si="2"/>
        <v>1.4998875694220644</v>
      </c>
      <c r="J6" s="50"/>
      <c r="K6" s="76" t="s">
        <v>474</v>
      </c>
      <c r="L6" s="75">
        <f t="shared" si="3"/>
        <v>1.2177056339204861</v>
      </c>
      <c r="M6" s="50"/>
      <c r="N6" s="76" t="s">
        <v>474</v>
      </c>
      <c r="O6" s="75">
        <f t="shared" si="4"/>
        <v>1.2177056339204861</v>
      </c>
      <c r="R6" s="138" t="str">
        <f>H2</f>
        <v>Stationary Telephony</v>
      </c>
      <c r="S6" s="139">
        <f>I17</f>
        <v>1.4716583732221857</v>
      </c>
      <c r="T6" s="139">
        <f>I33</f>
        <v>1.3987237147014284</v>
      </c>
      <c r="U6" s="139">
        <f>I35</f>
        <v>2.0584434665647966</v>
      </c>
      <c r="V6" s="140" t="str">
        <f>CONCATENATE(I18,", ",I34)</f>
        <v>Motorola, Panasonic, Philips, Vtech, Amazon.com, Best Buy, Costco Wholesale, Radioshack, Staples, Target, Walmart</v>
      </c>
    </row>
    <row r="7" spans="2:22">
      <c r="B7" s="76" t="s">
        <v>544</v>
      </c>
      <c r="C7" s="75">
        <f t="shared" si="0"/>
        <v>1.3599931610556417</v>
      </c>
      <c r="D7" s="50"/>
      <c r="E7" s="76" t="s">
        <v>538</v>
      </c>
      <c r="F7" s="75">
        <f t="shared" si="1"/>
        <v>2.0359513669216485</v>
      </c>
      <c r="G7" s="50"/>
      <c r="H7" s="76" t="s">
        <v>41</v>
      </c>
      <c r="I7" s="75">
        <f t="shared" si="2"/>
        <v>1.5872924121201359</v>
      </c>
      <c r="J7" s="50"/>
      <c r="K7" s="76" t="s">
        <v>486</v>
      </c>
      <c r="L7" s="75">
        <f t="shared" si="3"/>
        <v>1.3228022584822154</v>
      </c>
      <c r="M7" s="50"/>
      <c r="N7" s="76" t="s">
        <v>476</v>
      </c>
      <c r="O7" s="75">
        <f t="shared" si="4"/>
        <v>1.3618264266136844</v>
      </c>
      <c r="R7" s="138" t="str">
        <f>K2</f>
        <v>Computers/Accessories</v>
      </c>
      <c r="S7" s="139">
        <f>L17</f>
        <v>1.3524571694884946</v>
      </c>
      <c r="T7" s="139">
        <f>L33</f>
        <v>1.3945404187342545</v>
      </c>
      <c r="U7" s="139">
        <f>L35</f>
        <v>1.8860561874586299</v>
      </c>
      <c r="V7" s="140" t="str">
        <f>CONCATENATE(L18,", ",L34)</f>
        <v>Acer (Gateway), Apple, Dell, Hewlett Packard, LG, Logitech, Netgear, Nokia, Samsung, Sony, Toshiba, Western Digital, Amazon.com, Apple, Best Buy, Costco Wholesale, Dell, Office Depot, Radioshack, Sears, Staples, Target, Walmart</v>
      </c>
    </row>
    <row r="8" spans="2:22">
      <c r="B8" s="76" t="s">
        <v>552</v>
      </c>
      <c r="C8" s="75">
        <f t="shared" si="0"/>
        <v>1.2816311736340955</v>
      </c>
      <c r="D8" s="50"/>
      <c r="E8" s="76" t="s">
        <v>543</v>
      </c>
      <c r="F8" s="75">
        <f t="shared" si="1"/>
        <v>1.3705239101496671</v>
      </c>
      <c r="G8" s="50"/>
      <c r="H8" s="76"/>
      <c r="I8" s="75" t="str">
        <f t="shared" si="2"/>
        <v/>
      </c>
      <c r="J8" s="50"/>
      <c r="K8" s="76" t="s">
        <v>498</v>
      </c>
      <c r="L8" s="75">
        <f t="shared" si="3"/>
        <v>1.326435916174715</v>
      </c>
      <c r="M8" s="50"/>
      <c r="N8" s="76" t="s">
        <v>486</v>
      </c>
      <c r="O8" s="75">
        <f t="shared" si="4"/>
        <v>1.3228022584822154</v>
      </c>
      <c r="R8" s="138" t="str">
        <f>N2</f>
        <v>Printers/MFDs</v>
      </c>
      <c r="S8" s="139">
        <f>O17</f>
        <v>1.4737611280310681</v>
      </c>
      <c r="T8" s="139">
        <f>O33</f>
        <v>1.3490101174047979</v>
      </c>
      <c r="U8" s="139">
        <f>O35</f>
        <v>1.9881186723518185</v>
      </c>
      <c r="V8" s="140" t="str">
        <f>CONCATENATE(O18,", ",O34)</f>
        <v>Brother, Canon, Dell, Epson, Hewlett Packard, Kodak, Lexmark, Panasonic, Amazon.com, Apple, Best Buy, Costco Wholesale, Dell, Office depot, Sears, Staples, Target, Walmart</v>
      </c>
    </row>
    <row r="9" spans="2:22">
      <c r="B9" s="76"/>
      <c r="C9" s="75" t="str">
        <f t="shared" si="0"/>
        <v/>
      </c>
      <c r="D9" s="50"/>
      <c r="E9" s="76" t="s">
        <v>552</v>
      </c>
      <c r="F9" s="75">
        <f t="shared" si="1"/>
        <v>1.2816311736340955</v>
      </c>
      <c r="G9" s="50"/>
      <c r="H9" s="76"/>
      <c r="I9" s="75" t="str">
        <f t="shared" si="2"/>
        <v/>
      </c>
      <c r="J9" s="50"/>
      <c r="K9" s="76" t="s">
        <v>500</v>
      </c>
      <c r="L9" s="75">
        <f t="shared" si="3"/>
        <v>1.5121471913546494</v>
      </c>
      <c r="M9" s="50"/>
      <c r="N9" s="76" t="s">
        <v>494</v>
      </c>
      <c r="O9" s="75">
        <f t="shared" si="4"/>
        <v>1.3094718172819266</v>
      </c>
      <c r="R9" s="76" t="str">
        <f>B37</f>
        <v>Geospatial Equipment</v>
      </c>
      <c r="S9" s="139">
        <f>C52</f>
        <v>1.8620632660053715</v>
      </c>
      <c r="T9" s="139">
        <f>C68</f>
        <v>1.3970653934829105</v>
      </c>
      <c r="U9" s="139">
        <f>C70</f>
        <v>2.6014241494118679</v>
      </c>
      <c r="V9" s="140" t="str">
        <f>CONCATENATE(C53,", ",C69)</f>
        <v>Garmin, TomTom, Amazon.com, Best Buy, Costco Wholesale, Radioshack, Sears, Staples, Target, Walmart</v>
      </c>
    </row>
    <row r="10" spans="2:22">
      <c r="B10" s="76"/>
      <c r="C10" s="75" t="str">
        <f t="shared" si="0"/>
        <v/>
      </c>
      <c r="D10" s="50"/>
      <c r="E10" s="76"/>
      <c r="F10" s="75" t="str">
        <f t="shared" si="1"/>
        <v/>
      </c>
      <c r="G10" s="50"/>
      <c r="H10" s="76"/>
      <c r="I10" s="75" t="str">
        <f t="shared" si="2"/>
        <v/>
      </c>
      <c r="J10" s="50"/>
      <c r="K10" s="76" t="s">
        <v>511</v>
      </c>
      <c r="L10" s="75">
        <f t="shared" si="3"/>
        <v>1.4965350006615159</v>
      </c>
      <c r="M10" s="50"/>
      <c r="N10" s="76" t="s">
        <v>496</v>
      </c>
      <c r="O10" s="75">
        <f t="shared" si="4"/>
        <v>1.482173354798195</v>
      </c>
      <c r="R10" s="76" t="str">
        <f>E37</f>
        <v>PowerTools/Outdoor Appliances</v>
      </c>
      <c r="S10" s="139">
        <f>F52</f>
        <v>1.5096108986659464</v>
      </c>
      <c r="T10" s="139">
        <f>F68</f>
        <v>1.41756020855931</v>
      </c>
      <c r="U10" s="139">
        <f>F70</f>
        <v>2.1399643403563062</v>
      </c>
      <c r="V10" s="140" t="str">
        <f>CONCATENATE(F53,", ",F69)</f>
        <v>Black &amp; Decker, Hitachi, Makita, Toro Company, Amazon.com, Lowe's, Sears, Target, The Home Depot, Walmart</v>
      </c>
    </row>
    <row r="11" spans="2:22">
      <c r="B11" s="76"/>
      <c r="C11" s="75" t="str">
        <f t="shared" si="0"/>
        <v/>
      </c>
      <c r="D11" s="50"/>
      <c r="E11" s="76"/>
      <c r="F11" s="75" t="str">
        <f t="shared" si="1"/>
        <v/>
      </c>
      <c r="G11" s="50"/>
      <c r="H11" s="76"/>
      <c r="I11" s="75" t="str">
        <f t="shared" si="2"/>
        <v/>
      </c>
      <c r="J11" s="50"/>
      <c r="K11" s="76" t="s">
        <v>519</v>
      </c>
      <c r="L11" s="75">
        <f t="shared" si="3"/>
        <v>1.5049463918984129</v>
      </c>
      <c r="M11" s="50"/>
      <c r="N11" s="76" t="s">
        <v>530</v>
      </c>
      <c r="O11" s="75">
        <f t="shared" si="4"/>
        <v>1.4055682504259679</v>
      </c>
      <c r="R11" s="76" t="str">
        <f>H37</f>
        <v>Transport</v>
      </c>
      <c r="S11" s="139">
        <f>I52</f>
        <v>1.5505499305060755</v>
      </c>
      <c r="T11" s="139">
        <f>I68</f>
        <v>1.5171138380578855</v>
      </c>
      <c r="U11" s="139">
        <f>I70</f>
        <v>2.3523607561704596</v>
      </c>
      <c r="V11" s="140" t="str">
        <f>CONCATENATE(I53,", ",I69)</f>
        <v>Ingersoll Rand (Club Car), Mattel, Omron Corp., Textron (E-Z-Go), Yamaha, Amazon.com, Autozone, The Home Depot, Ingersoll Rand (Club Car), Pep Boys, Radioshack, Sears, Textron (E-Z-Go), Yamaha</v>
      </c>
    </row>
    <row r="12" spans="2:22">
      <c r="B12" s="76"/>
      <c r="C12" s="75" t="str">
        <f t="shared" si="0"/>
        <v/>
      </c>
      <c r="D12" s="50"/>
      <c r="E12" s="76"/>
      <c r="F12" s="75" t="str">
        <f t="shared" si="1"/>
        <v/>
      </c>
      <c r="G12" s="50"/>
      <c r="H12" s="76"/>
      <c r="I12" s="75" t="str">
        <f t="shared" si="2"/>
        <v/>
      </c>
      <c r="J12" s="50"/>
      <c r="K12" s="76" t="s">
        <v>543</v>
      </c>
      <c r="L12" s="75">
        <f t="shared" si="3"/>
        <v>1.3705239101496671</v>
      </c>
      <c r="M12" s="50"/>
      <c r="N12" s="76"/>
      <c r="O12" s="75" t="str">
        <f t="shared" si="4"/>
        <v/>
      </c>
      <c r="R12" s="76" t="str">
        <f>K37</f>
        <v>Photo/Video</v>
      </c>
      <c r="S12" s="139">
        <f>L52</f>
        <v>1.5285865026453909</v>
      </c>
      <c r="T12" s="139">
        <f>L68</f>
        <v>1.3988265874301256</v>
      </c>
      <c r="U12" s="139">
        <f>L70</f>
        <v>2.1382274410872029</v>
      </c>
      <c r="V12" s="140" t="str">
        <f>CONCATENATE(L53,", ",L69)</f>
        <v xml:space="preserve">Canon, JVC Kenwood Holdings, Kodak, Nikon, Olympus, Panasonic, Samsung, Sony, Amazon.com, Best Buy, Costco Wholesale, Office depot, Radioshack, Sears, Staples, Target, Walmart, , , </v>
      </c>
    </row>
    <row r="13" spans="2:22">
      <c r="B13" s="76"/>
      <c r="C13" s="75" t="str">
        <f t="shared" si="0"/>
        <v/>
      </c>
      <c r="D13" s="50"/>
      <c r="E13" s="76"/>
      <c r="F13" s="75" t="str">
        <f t="shared" si="1"/>
        <v/>
      </c>
      <c r="G13" s="50"/>
      <c r="H13" s="76"/>
      <c r="I13" s="75" t="str">
        <f t="shared" si="2"/>
        <v/>
      </c>
      <c r="J13" s="50"/>
      <c r="K13" s="76" t="s">
        <v>552</v>
      </c>
      <c r="L13" s="75">
        <f t="shared" si="3"/>
        <v>1.2816311736340955</v>
      </c>
      <c r="M13" s="50"/>
      <c r="N13" s="76"/>
      <c r="O13" s="75" t="str">
        <f t="shared" si="4"/>
        <v/>
      </c>
      <c r="R13" s="76" t="str">
        <f>N37</f>
        <v>Floor Care</v>
      </c>
      <c r="S13" s="139">
        <f>O52</f>
        <v>1.4113352097162482</v>
      </c>
      <c r="T13" s="139">
        <f>O68</f>
        <v>1.4194157540070929</v>
      </c>
      <c r="U13" s="139">
        <f>O70</f>
        <v>2.003271430856147</v>
      </c>
      <c r="V13" s="140" t="str">
        <f>CONCATENATE(O53,", ",O69)</f>
        <v>Black &amp; Decker, Electrolux/Eureka, iRobot, Amazon.com, Bed Bath &amp; Beyond, Costco Wholesale, Lowe's, Sears, Target, The Home Depot, Walmart</v>
      </c>
    </row>
    <row r="14" spans="2:22">
      <c r="B14" s="76"/>
      <c r="C14" s="75" t="str">
        <f t="shared" si="0"/>
        <v/>
      </c>
      <c r="D14" s="50"/>
      <c r="E14" s="76"/>
      <c r="F14" s="75" t="str">
        <f t="shared" si="1"/>
        <v/>
      </c>
      <c r="G14" s="50"/>
      <c r="H14" s="76"/>
      <c r="I14" s="75" t="str">
        <f t="shared" si="2"/>
        <v/>
      </c>
      <c r="J14" s="50"/>
      <c r="K14" s="76" t="s">
        <v>5</v>
      </c>
      <c r="L14" s="75">
        <f t="shared" si="3"/>
        <v>1.318158700894112</v>
      </c>
      <c r="M14" s="50"/>
      <c r="N14" s="76"/>
      <c r="O14" s="75" t="str">
        <f t="shared" si="4"/>
        <v/>
      </c>
      <c r="R14" s="76" t="str">
        <f>B72</f>
        <v>Games/Entertainment</v>
      </c>
      <c r="S14" s="139">
        <f>C87</f>
        <v>1.614854582000868</v>
      </c>
      <c r="T14" s="139">
        <f>C103</f>
        <v>1.4075758815007084</v>
      </c>
      <c r="U14" s="139">
        <f>C105</f>
        <v>2.2730303617553296</v>
      </c>
      <c r="V14" s="140" t="str">
        <f>CONCATENATE(C88,", ",C104)</f>
        <v>Nintendo, Sony, Mattel, Amazon.com, Best Buy, Costco Wholesale, GameStop, Radioshack, Sears, Target, Toys "R" Us, Walmart</v>
      </c>
    </row>
    <row r="15" spans="2:22">
      <c r="B15" s="76"/>
      <c r="C15" s="75" t="str">
        <f t="shared" si="0"/>
        <v/>
      </c>
      <c r="D15" s="50"/>
      <c r="E15" s="76"/>
      <c r="F15" s="75" t="str">
        <f t="shared" si="1"/>
        <v/>
      </c>
      <c r="G15" s="50"/>
      <c r="H15" s="76"/>
      <c r="I15" s="75" t="str">
        <f t="shared" si="2"/>
        <v/>
      </c>
      <c r="J15" s="50"/>
      <c r="K15" s="76" t="s">
        <v>18</v>
      </c>
      <c r="L15" s="75">
        <f t="shared" si="3"/>
        <v>1.2300454694906229</v>
      </c>
      <c r="M15" s="50"/>
      <c r="N15" s="76"/>
      <c r="O15" s="75" t="str">
        <f t="shared" si="4"/>
        <v/>
      </c>
      <c r="R15" s="76" t="str">
        <f>E72</f>
        <v>Personal Care</v>
      </c>
      <c r="S15" s="139">
        <f>F87</f>
        <v>1.452727909924016</v>
      </c>
      <c r="T15" s="139">
        <f>F103</f>
        <v>1.3757581464270576</v>
      </c>
      <c r="U15" s="139">
        <f>F105</f>
        <v>1.9986022566199177</v>
      </c>
      <c r="V15" s="140" t="str">
        <f>CONCATENATE(F88,", ",F104)</f>
        <v>Panasonic, Philips, Amazon.com, Bed Bath &amp; Beyond, Costco Wholesale, CVS, RiteAid, Sears, Target, Walgreens, Walmart</v>
      </c>
    </row>
    <row r="16" spans="2:22" ht="13.5" thickBot="1">
      <c r="B16" s="77"/>
      <c r="C16" s="75" t="str">
        <f t="shared" si="0"/>
        <v/>
      </c>
      <c r="D16" s="50"/>
      <c r="E16" s="77"/>
      <c r="F16" s="75" t="str">
        <f t="shared" si="1"/>
        <v/>
      </c>
      <c r="G16" s="50"/>
      <c r="H16" s="77"/>
      <c r="I16" s="75" t="str">
        <f t="shared" si="2"/>
        <v/>
      </c>
      <c r="J16" s="50"/>
      <c r="K16" s="77"/>
      <c r="L16" s="75" t="str">
        <f t="shared" si="3"/>
        <v/>
      </c>
      <c r="M16" s="50"/>
      <c r="N16" s="77"/>
      <c r="O16" s="75" t="str">
        <f t="shared" si="4"/>
        <v/>
      </c>
      <c r="R16" s="141" t="s">
        <v>88</v>
      </c>
      <c r="S16" s="139">
        <f>I87</f>
        <v>1.9315584033794932</v>
      </c>
      <c r="T16" s="139">
        <f>I103</f>
        <v>1.3118517425611751</v>
      </c>
      <c r="U16" s="139">
        <f>I105</f>
        <v>2.5339182573320693</v>
      </c>
      <c r="V16" s="140" t="str">
        <f>CONCATENATE(I88,", ",I104)</f>
        <v>Covidien, Omron Corp., Philips, Resmed, Henry Schein, Owens &amp; Minor, PSS World Medical</v>
      </c>
    </row>
    <row r="17" spans="2:22">
      <c r="B17" s="51" t="s">
        <v>42</v>
      </c>
      <c r="C17" s="52">
        <f>AVERAGE(C4:C16)</f>
        <v>1.4240901186204276</v>
      </c>
      <c r="D17" s="50"/>
      <c r="E17" s="51" t="s">
        <v>42</v>
      </c>
      <c r="F17" s="52">
        <f>AVERAGE(F4:F16)</f>
        <v>1.5199562981349306</v>
      </c>
      <c r="G17" s="50"/>
      <c r="H17" s="51" t="s">
        <v>42</v>
      </c>
      <c r="I17" s="52">
        <f>AVERAGE(I4:I16)</f>
        <v>1.4716583732221857</v>
      </c>
      <c r="J17" s="50"/>
      <c r="K17" s="51" t="s">
        <v>42</v>
      </c>
      <c r="L17" s="52">
        <f>AVERAGE(L4:L15)</f>
        <v>1.3524571694884946</v>
      </c>
      <c r="M17" s="50"/>
      <c r="N17" s="51" t="s">
        <v>42</v>
      </c>
      <c r="O17" s="52">
        <f>AVERAGE(O4:O16)</f>
        <v>1.4737611280310681</v>
      </c>
      <c r="R17" s="76" t="str">
        <f>K72</f>
        <v>Home Systems</v>
      </c>
      <c r="S17" s="139">
        <f>L87</f>
        <v>1.3745426284830404</v>
      </c>
      <c r="T17" s="139">
        <f>L103</f>
        <v>1.5267897396715315</v>
      </c>
      <c r="U17" s="139">
        <f>L105</f>
        <v>2.0986375819090441</v>
      </c>
      <c r="V17" s="140" t="str">
        <f>CONCATENATE(L88,", ",L104)</f>
        <v>General Electric, Honeywell, Napco Security, Toro Company, Whirlpool, Amazon.com, Broadview Security, The Home Depot, Lowe's, Tyco International (ADT)</v>
      </c>
    </row>
    <row r="18" spans="2:22" ht="13.5" thickBot="1">
      <c r="B18" s="53" t="s">
        <v>40</v>
      </c>
      <c r="C18" s="54" t="str">
        <f>CONCATENATE(B4,", ",B5,", ",B6,", ",B7,", ",B8)</f>
        <v>Apple, JVC Kenwood Holdings, Logitech, Sandisk, Sony</v>
      </c>
      <c r="D18" s="50" t="s">
        <v>327</v>
      </c>
      <c r="E18" s="53" t="s">
        <v>40</v>
      </c>
      <c r="F18" s="54" t="str">
        <f>CONCATENATE(E4,", ",E5,", ",E6,", ",E7,", ",E8)</f>
        <v>Apple, Motorola, Nokia, Research In Motion, Samsung</v>
      </c>
      <c r="G18" s="50" t="s">
        <v>327</v>
      </c>
      <c r="H18" s="53" t="s">
        <v>40</v>
      </c>
      <c r="I18" s="54" t="str">
        <f>CONCATENATE(H4,", ",H5,", ",H6,", ",H7)</f>
        <v>Motorola, Panasonic, Philips, Vtech</v>
      </c>
      <c r="J18" s="50" t="s">
        <v>327</v>
      </c>
      <c r="K18" s="53" t="s">
        <v>40</v>
      </c>
      <c r="L18" s="54" t="str">
        <f>CONCATENATE(K4,", ",K5,", ",K6,", ",K7,", ",K8,", ",K9,", ",K10,", ",K11,", ",K12,", ",K13,", ",K14,", ",K15)</f>
        <v>Acer (Gateway), Apple, Dell, Hewlett Packard, LG, Logitech, Netgear, Nokia, Samsung, Sony, Toshiba, Western Digital</v>
      </c>
      <c r="M18" s="50" t="s">
        <v>327</v>
      </c>
      <c r="N18" s="53" t="s">
        <v>40</v>
      </c>
      <c r="O18" s="54" t="str">
        <f>CONCATENATE(N4,", ",N5,", ",N6,", ",N7,", ",N8,", ",N9,", ",N10,", ",N11)</f>
        <v>Brother, Canon, Dell, Epson, Hewlett Packard, Kodak, Lexmark, Panasonic</v>
      </c>
      <c r="P18" s="29" t="s">
        <v>327</v>
      </c>
      <c r="R18" s="76" t="str">
        <f>N72</f>
        <v>Amateur Radios</v>
      </c>
      <c r="S18" s="139">
        <f>O87</f>
        <v>1.1503525720030776</v>
      </c>
      <c r="T18" s="139">
        <f>O103</f>
        <v>1.4656856906463094</v>
      </c>
      <c r="U18" s="139">
        <v>1.24</v>
      </c>
      <c r="V18" s="140" t="s">
        <v>1243</v>
      </c>
    </row>
    <row r="19" spans="2:22">
      <c r="B19" s="55" t="s">
        <v>43</v>
      </c>
      <c r="C19" s="56" t="s">
        <v>420</v>
      </c>
      <c r="D19" s="50"/>
      <c r="E19" s="55" t="s">
        <v>43</v>
      </c>
      <c r="F19" s="56" t="s">
        <v>420</v>
      </c>
      <c r="G19" s="50"/>
      <c r="H19" s="55" t="s">
        <v>43</v>
      </c>
      <c r="I19" s="56" t="s">
        <v>420</v>
      </c>
      <c r="J19" s="50"/>
      <c r="K19" s="55" t="s">
        <v>43</v>
      </c>
      <c r="L19" s="56" t="s">
        <v>420</v>
      </c>
      <c r="M19" s="50"/>
      <c r="N19" s="55" t="s">
        <v>43</v>
      </c>
      <c r="O19" s="56" t="s">
        <v>420</v>
      </c>
      <c r="R19" s="76" t="str">
        <f>B107</f>
        <v>Uninterruptible Power Supply</v>
      </c>
      <c r="S19" s="139">
        <f>C122</f>
        <v>1.3491497189110926</v>
      </c>
      <c r="T19" s="139">
        <f>C138</f>
        <v>1.4872285780774972</v>
      </c>
      <c r="U19" s="139">
        <f>C140</f>
        <v>2.0064940180697994</v>
      </c>
      <c r="V19" s="140" t="str">
        <f>CONCATENATE(C123,", ",C139)</f>
        <v>General Electric, OCZ Technology, Schneider Electric (APC), Systemax (Ultra), Amazon.com, Best Buy, Radioshack</v>
      </c>
    </row>
    <row r="20" spans="2:22">
      <c r="B20" s="74" t="s">
        <v>428</v>
      </c>
      <c r="C20" s="75">
        <f t="shared" ref="C20:C32" si="5">IF(B20="","",VLOOKUP(B20,Markups,27,FALSE))</f>
        <v>1.5327996852851846</v>
      </c>
      <c r="D20" s="50"/>
      <c r="E20" s="74" t="s">
        <v>427</v>
      </c>
      <c r="F20" s="75">
        <f t="shared" ref="F20:F32" si="6">IF(E20="","",VLOOKUP(E20,Markups,27,FALSE))</f>
        <v>1.2920643625591361</v>
      </c>
      <c r="G20" s="50"/>
      <c r="H20" s="74" t="s">
        <v>427</v>
      </c>
      <c r="I20" s="75">
        <f t="shared" ref="I20:I32" si="7">IF(H20="","",VLOOKUP(H20,Markups,27,FALSE))</f>
        <v>1.2920643625591361</v>
      </c>
      <c r="J20" s="50"/>
      <c r="K20" s="74" t="s">
        <v>427</v>
      </c>
      <c r="L20" s="75">
        <f t="shared" ref="L20:L32" si="8">IF(K20="","",VLOOKUP(K20,Markups,27,FALSE))</f>
        <v>1.2920643625591361</v>
      </c>
      <c r="M20" s="50"/>
      <c r="N20" s="74" t="s">
        <v>427</v>
      </c>
      <c r="O20" s="75">
        <f t="shared" ref="O20:O32" si="9">IF(N20="","",VLOOKUP(N20,Markups,27,FALSE))</f>
        <v>1.2920643625591361</v>
      </c>
      <c r="R20" s="76" t="str">
        <f>E107</f>
        <v>BC/EPS Distributors</v>
      </c>
      <c r="S20" s="142" t="s">
        <v>44</v>
      </c>
      <c r="T20" s="142" t="s">
        <v>44</v>
      </c>
      <c r="U20" s="139">
        <f>F123</f>
        <v>1.1503525720030776</v>
      </c>
      <c r="V20" s="140" t="str">
        <f>CONCATENATE(F122)</f>
        <v>Arrow Electronics, Avnet, Bell Microproducts, Nu Horizons</v>
      </c>
    </row>
    <row r="21" spans="2:22" ht="13.5" thickBot="1">
      <c r="B21" s="76" t="s">
        <v>458</v>
      </c>
      <c r="C21" s="75">
        <f t="shared" si="5"/>
        <v>1.3197779396445328</v>
      </c>
      <c r="D21" s="50"/>
      <c r="E21" s="76" t="s">
        <v>468</v>
      </c>
      <c r="F21" s="75">
        <f t="shared" si="6"/>
        <v>1.14267926763737</v>
      </c>
      <c r="G21" s="50"/>
      <c r="H21" s="76" t="s">
        <v>458</v>
      </c>
      <c r="I21" s="75">
        <f t="shared" si="7"/>
        <v>1.3197779396445328</v>
      </c>
      <c r="J21" s="50"/>
      <c r="K21" s="76" t="s">
        <v>428</v>
      </c>
      <c r="L21" s="75">
        <f t="shared" si="8"/>
        <v>1.5327996852851846</v>
      </c>
      <c r="M21" s="50"/>
      <c r="N21" s="76" t="s">
        <v>428</v>
      </c>
      <c r="O21" s="75">
        <f t="shared" si="9"/>
        <v>1.5327996852851846</v>
      </c>
      <c r="R21" s="143" t="str">
        <f>H107</f>
        <v>Other</v>
      </c>
      <c r="S21" s="144">
        <f>I109</f>
        <v>1.4837694718948224</v>
      </c>
      <c r="T21" s="144">
        <f>I111</f>
        <v>1.4656856906463094</v>
      </c>
      <c r="U21" s="144">
        <f>I112</f>
        <v>2.1747396831740726</v>
      </c>
      <c r="V21" s="145" t="str">
        <f>CONCATENATE(H109,", ",H111)</f>
        <v>Average Manufacturer, Average Retailer</v>
      </c>
    </row>
    <row r="22" spans="2:22">
      <c r="B22" s="76" t="s">
        <v>536</v>
      </c>
      <c r="C22" s="75">
        <f t="shared" si="5"/>
        <v>1.8498434320288231</v>
      </c>
      <c r="D22" s="50"/>
      <c r="E22" s="76" t="s">
        <v>536</v>
      </c>
      <c r="F22" s="75">
        <f t="shared" si="6"/>
        <v>1.8498434320288231</v>
      </c>
      <c r="G22" s="50"/>
      <c r="H22" s="76" t="s">
        <v>468</v>
      </c>
      <c r="I22" s="75">
        <f t="shared" si="7"/>
        <v>1.14267926763737</v>
      </c>
      <c r="J22" s="50"/>
      <c r="K22" s="76" t="s">
        <v>458</v>
      </c>
      <c r="L22" s="75">
        <f t="shared" si="8"/>
        <v>1.3197779396445328</v>
      </c>
      <c r="M22" s="50"/>
      <c r="N22" s="76" t="s">
        <v>458</v>
      </c>
      <c r="O22" s="75">
        <f t="shared" si="9"/>
        <v>1.3197779396445328</v>
      </c>
    </row>
    <row r="23" spans="2:22">
      <c r="B23" s="76" t="s">
        <v>555</v>
      </c>
      <c r="C23" s="75">
        <f t="shared" si="5"/>
        <v>1.3910573165662548</v>
      </c>
      <c r="D23" s="50"/>
      <c r="E23" s="76" t="s">
        <v>550</v>
      </c>
      <c r="F23" s="75">
        <f t="shared" si="6"/>
        <v>1.3854571449532873</v>
      </c>
      <c r="G23" s="50"/>
      <c r="H23" s="76" t="s">
        <v>536</v>
      </c>
      <c r="I23" s="75">
        <f t="shared" si="7"/>
        <v>1.8498434320288231</v>
      </c>
      <c r="J23" s="50"/>
      <c r="K23" s="76" t="s">
        <v>468</v>
      </c>
      <c r="L23" s="75">
        <f t="shared" si="8"/>
        <v>1.14267926763737</v>
      </c>
      <c r="M23" s="50"/>
      <c r="N23" s="76" t="s">
        <v>468</v>
      </c>
      <c r="O23" s="75">
        <f t="shared" si="9"/>
        <v>1.14267926763737</v>
      </c>
    </row>
    <row r="24" spans="2:22">
      <c r="B24" s="76" t="s">
        <v>559</v>
      </c>
      <c r="C24" s="75">
        <f t="shared" si="5"/>
        <v>1.4735653832896356</v>
      </c>
      <c r="D24" s="50"/>
      <c r="E24" s="76" t="s">
        <v>559</v>
      </c>
      <c r="F24" s="75">
        <f t="shared" si="6"/>
        <v>1.4735653832896356</v>
      </c>
      <c r="G24" s="50"/>
      <c r="H24" s="76" t="s">
        <v>555</v>
      </c>
      <c r="I24" s="75">
        <f t="shared" si="7"/>
        <v>1.3910573165662548</v>
      </c>
      <c r="J24" s="50"/>
      <c r="K24" s="76" t="s">
        <v>474</v>
      </c>
      <c r="L24" s="75">
        <f t="shared" si="8"/>
        <v>1.2177056339204861</v>
      </c>
      <c r="M24" s="50"/>
      <c r="N24" s="76" t="s">
        <v>474</v>
      </c>
      <c r="O24" s="75">
        <f t="shared" si="9"/>
        <v>1.2177056339204861</v>
      </c>
    </row>
    <row r="25" spans="2:22">
      <c r="B25" s="76" t="s">
        <v>17</v>
      </c>
      <c r="C25" s="75">
        <f t="shared" si="5"/>
        <v>1.3220783011842456</v>
      </c>
      <c r="D25" s="50"/>
      <c r="E25" s="76" t="s">
        <v>17</v>
      </c>
      <c r="F25" s="75">
        <f t="shared" si="6"/>
        <v>1.3220783011842456</v>
      </c>
      <c r="G25" s="50"/>
      <c r="H25" s="76" t="s">
        <v>559</v>
      </c>
      <c r="I25" s="75">
        <f t="shared" si="7"/>
        <v>1.4735653832896356</v>
      </c>
      <c r="J25" s="50"/>
      <c r="K25" s="76" t="s">
        <v>517</v>
      </c>
      <c r="L25" s="75">
        <f t="shared" si="8"/>
        <v>1.4129161390078462</v>
      </c>
      <c r="M25" s="50"/>
      <c r="N25" s="76" t="s">
        <v>522</v>
      </c>
      <c r="O25" s="75">
        <f t="shared" si="9"/>
        <v>1.4129161390078462</v>
      </c>
    </row>
    <row r="26" spans="2:22">
      <c r="B26" s="76"/>
      <c r="C26" s="75" t="str">
        <f t="shared" si="5"/>
        <v/>
      </c>
      <c r="D26" s="50"/>
      <c r="E26" s="76"/>
      <c r="F26" s="75" t="str">
        <f t="shared" si="6"/>
        <v/>
      </c>
      <c r="G26" s="50"/>
      <c r="H26" s="76" t="s">
        <v>17</v>
      </c>
      <c r="I26" s="75">
        <f t="shared" si="7"/>
        <v>1.3220783011842456</v>
      </c>
      <c r="J26" s="50"/>
      <c r="K26" s="76" t="s">
        <v>536</v>
      </c>
      <c r="L26" s="75">
        <f t="shared" si="8"/>
        <v>1.8498434320288231</v>
      </c>
      <c r="M26" s="50"/>
      <c r="N26" s="76" t="s">
        <v>550</v>
      </c>
      <c r="O26" s="75">
        <f t="shared" si="9"/>
        <v>1.3854571449532873</v>
      </c>
    </row>
    <row r="27" spans="2:22">
      <c r="B27" s="76"/>
      <c r="C27" s="75" t="str">
        <f t="shared" si="5"/>
        <v/>
      </c>
      <c r="D27" s="50"/>
      <c r="E27" s="76"/>
      <c r="F27" s="75" t="str">
        <f t="shared" si="6"/>
        <v/>
      </c>
      <c r="G27" s="50"/>
      <c r="H27" s="76"/>
      <c r="I27" s="75" t="str">
        <f t="shared" si="7"/>
        <v/>
      </c>
      <c r="J27" s="50"/>
      <c r="K27" s="76" t="s">
        <v>550</v>
      </c>
      <c r="L27" s="75">
        <f t="shared" si="8"/>
        <v>1.3854571449532873</v>
      </c>
      <c r="M27" s="50"/>
      <c r="N27" s="76" t="s">
        <v>555</v>
      </c>
      <c r="O27" s="75">
        <f t="shared" si="9"/>
        <v>1.3910573165662548</v>
      </c>
    </row>
    <row r="28" spans="2:22">
      <c r="B28" s="76"/>
      <c r="C28" s="75" t="str">
        <f t="shared" si="5"/>
        <v/>
      </c>
      <c r="D28" s="50"/>
      <c r="E28" s="76"/>
      <c r="F28" s="75" t="str">
        <f t="shared" si="6"/>
        <v/>
      </c>
      <c r="G28" s="50"/>
      <c r="H28" s="76"/>
      <c r="I28" s="75" t="str">
        <f t="shared" si="7"/>
        <v/>
      </c>
      <c r="J28" s="50"/>
      <c r="K28" s="76" t="s">
        <v>555</v>
      </c>
      <c r="L28" s="75">
        <f t="shared" si="8"/>
        <v>1.3910573165662548</v>
      </c>
      <c r="M28" s="50"/>
      <c r="N28" s="76" t="s">
        <v>559</v>
      </c>
      <c r="O28" s="75">
        <f t="shared" si="9"/>
        <v>1.4735653832896356</v>
      </c>
    </row>
    <row r="29" spans="2:22">
      <c r="B29" s="76"/>
      <c r="C29" s="75" t="str">
        <f t="shared" si="5"/>
        <v/>
      </c>
      <c r="D29" s="50"/>
      <c r="E29" s="76"/>
      <c r="F29" s="75" t="str">
        <f t="shared" si="6"/>
        <v/>
      </c>
      <c r="G29" s="50"/>
      <c r="H29" s="76"/>
      <c r="I29" s="75" t="str">
        <f t="shared" si="7"/>
        <v/>
      </c>
      <c r="J29" s="50"/>
      <c r="K29" s="76" t="s">
        <v>559</v>
      </c>
      <c r="L29" s="75">
        <f t="shared" si="8"/>
        <v>1.4735653832896356</v>
      </c>
      <c r="M29" s="50"/>
      <c r="N29" s="76" t="s">
        <v>17</v>
      </c>
      <c r="O29" s="75">
        <f t="shared" si="9"/>
        <v>1.3220783011842456</v>
      </c>
    </row>
    <row r="30" spans="2:22">
      <c r="B30" s="76"/>
      <c r="C30" s="75" t="str">
        <f t="shared" si="5"/>
        <v/>
      </c>
      <c r="D30" s="50"/>
      <c r="E30" s="76"/>
      <c r="F30" s="75" t="str">
        <f t="shared" si="6"/>
        <v/>
      </c>
      <c r="G30" s="50"/>
      <c r="H30" s="76"/>
      <c r="I30" s="75" t="str">
        <f t="shared" si="7"/>
        <v/>
      </c>
      <c r="J30" s="50"/>
      <c r="K30" s="76" t="s">
        <v>17</v>
      </c>
      <c r="L30" s="75">
        <f t="shared" si="8"/>
        <v>1.3220783011842456</v>
      </c>
      <c r="M30" s="50"/>
      <c r="N30" s="76"/>
      <c r="O30" s="75" t="str">
        <f t="shared" si="9"/>
        <v/>
      </c>
    </row>
    <row r="31" spans="2:22">
      <c r="B31" s="76"/>
      <c r="C31" s="75" t="str">
        <f t="shared" si="5"/>
        <v/>
      </c>
      <c r="D31" s="50"/>
      <c r="E31" s="76"/>
      <c r="F31" s="75" t="str">
        <f t="shared" si="6"/>
        <v/>
      </c>
      <c r="G31" s="50"/>
      <c r="H31" s="76"/>
      <c r="I31" s="75" t="str">
        <f t="shared" si="7"/>
        <v/>
      </c>
      <c r="J31" s="50"/>
      <c r="K31" s="76"/>
      <c r="L31" s="75" t="str">
        <f t="shared" si="8"/>
        <v/>
      </c>
      <c r="M31" s="50"/>
      <c r="N31" s="76"/>
      <c r="O31" s="75" t="str">
        <f t="shared" si="9"/>
        <v/>
      </c>
    </row>
    <row r="32" spans="2:22" ht="13.5" thickBot="1">
      <c r="B32" s="77"/>
      <c r="C32" s="75" t="str">
        <f t="shared" si="5"/>
        <v/>
      </c>
      <c r="D32" s="50"/>
      <c r="E32" s="77"/>
      <c r="F32" s="75" t="str">
        <f t="shared" si="6"/>
        <v/>
      </c>
      <c r="G32" s="50"/>
      <c r="H32" s="77"/>
      <c r="I32" s="75" t="str">
        <f t="shared" si="7"/>
        <v/>
      </c>
      <c r="J32" s="50"/>
      <c r="K32" s="77"/>
      <c r="L32" s="75" t="str">
        <f t="shared" si="8"/>
        <v/>
      </c>
      <c r="M32" s="50"/>
      <c r="N32" s="77"/>
      <c r="O32" s="75" t="str">
        <f t="shared" si="9"/>
        <v/>
      </c>
    </row>
    <row r="33" spans="2:16">
      <c r="B33" s="51" t="s">
        <v>42</v>
      </c>
      <c r="C33" s="52">
        <f>AVERAGE(C20:C32)</f>
        <v>1.4815203429997794</v>
      </c>
      <c r="D33" s="50"/>
      <c r="E33" s="51" t="s">
        <v>42</v>
      </c>
      <c r="F33" s="52">
        <f>AVERAGE(F20:F32)</f>
        <v>1.4109479819420827</v>
      </c>
      <c r="G33" s="50"/>
      <c r="H33" s="51" t="s">
        <v>42</v>
      </c>
      <c r="I33" s="52">
        <f>AVERAGE(I20:I32)</f>
        <v>1.3987237147014284</v>
      </c>
      <c r="J33" s="50"/>
      <c r="K33" s="51" t="s">
        <v>42</v>
      </c>
      <c r="L33" s="52">
        <f>AVERAGE(L20:L32)</f>
        <v>1.3945404187342545</v>
      </c>
      <c r="M33" s="50"/>
      <c r="N33" s="51" t="s">
        <v>42</v>
      </c>
      <c r="O33" s="52">
        <f>AVERAGE(O20:O32)</f>
        <v>1.3490101174047979</v>
      </c>
    </row>
    <row r="34" spans="2:16" ht="13.5" thickBot="1">
      <c r="B34" s="53" t="s">
        <v>40</v>
      </c>
      <c r="C34" s="54" t="str">
        <f>CONCATENATE(B20,", ",B21,", ",B22,", ",B23,", ",B24,", ",B25)</f>
        <v>Apple, Best Buy, Radioshack, Staples, Target, Walmart</v>
      </c>
      <c r="D34" s="29" t="s">
        <v>327</v>
      </c>
      <c r="E34" s="53" t="s">
        <v>40</v>
      </c>
      <c r="F34" s="54" t="str">
        <f>CONCATENATE(E20,", ",E21,", ",E22,", ",E23,", ",E24,", ",E25,", ",E26,", ",E27,", ",E28)</f>
        <v xml:space="preserve">Amazon.com, Costco Wholesale, Radioshack, Sears, Target, Walmart, , , </v>
      </c>
      <c r="G34" s="29" t="s">
        <v>327</v>
      </c>
      <c r="H34" s="53" t="s">
        <v>40</v>
      </c>
      <c r="I34" s="54" t="str">
        <f>CONCATENATE(H20,", ",H21,", ",H22,", ",H23,", ",H24,", ",H25,", ",H26)</f>
        <v>Amazon.com, Best Buy, Costco Wholesale, Radioshack, Staples, Target, Walmart</v>
      </c>
      <c r="J34" s="29" t="s">
        <v>327</v>
      </c>
      <c r="K34" s="53" t="s">
        <v>40</v>
      </c>
      <c r="L34" s="54" t="str">
        <f>CONCATENATE(K20,", ",K21,", ",K22,", ",K23,", ",K24,", ",K25,", ",K26,", ",K27,", ",K28,", ",K29,", ",K30)</f>
        <v>Amazon.com, Apple, Best Buy, Costco Wholesale, Dell, Office Depot, Radioshack, Sears, Staples, Target, Walmart</v>
      </c>
      <c r="M34" s="29" t="s">
        <v>327</v>
      </c>
      <c r="N34" s="53" t="s">
        <v>40</v>
      </c>
      <c r="O34" s="54" t="str">
        <f>CONCATENATE(N20,", ",N21,", ",N22,", ",N23,", ",N24,", ",N25,", ",N26,", ",N27,", ",N28,", ",N29)</f>
        <v>Amazon.com, Apple, Best Buy, Costco Wholesale, Dell, Office depot, Sears, Staples, Target, Walmart</v>
      </c>
      <c r="P34" s="29" t="s">
        <v>327</v>
      </c>
    </row>
    <row r="35" spans="2:16" ht="13.5" thickBot="1">
      <c r="B35" s="57" t="s">
        <v>39</v>
      </c>
      <c r="C35" s="58">
        <f>(C17*C33)</f>
        <v>2.1098184810011325</v>
      </c>
      <c r="D35" s="50"/>
      <c r="E35" s="57" t="s">
        <v>39</v>
      </c>
      <c r="F35" s="58">
        <f>(F17*F33)</f>
        <v>2.1445792714936389</v>
      </c>
      <c r="G35" s="50"/>
      <c r="H35" s="57" t="s">
        <v>39</v>
      </c>
      <c r="I35" s="58">
        <f>(I17*I33)</f>
        <v>2.0584434665647966</v>
      </c>
      <c r="J35" s="50"/>
      <c r="K35" s="57" t="s">
        <v>39</v>
      </c>
      <c r="L35" s="58">
        <f>(L17*L33)</f>
        <v>1.8860561874586299</v>
      </c>
      <c r="M35" s="50"/>
      <c r="N35" s="57" t="s">
        <v>39</v>
      </c>
      <c r="O35" s="58">
        <f>(O17*O33)</f>
        <v>1.9881186723518185</v>
      </c>
    </row>
    <row r="36" spans="2:16" ht="13.5" thickBot="1">
      <c r="B36" s="50"/>
      <c r="C36" s="50"/>
      <c r="D36" s="50"/>
      <c r="E36" s="50"/>
      <c r="F36" s="50"/>
      <c r="G36" s="50"/>
      <c r="H36" s="50"/>
      <c r="I36" s="50"/>
      <c r="J36" s="50"/>
      <c r="K36" s="50"/>
      <c r="L36" s="50"/>
      <c r="M36" s="50"/>
      <c r="N36" s="50"/>
      <c r="O36" s="50"/>
    </row>
    <row r="37" spans="2:16" ht="15">
      <c r="B37" s="1201" t="s">
        <v>163</v>
      </c>
      <c r="C37" s="1202"/>
      <c r="D37" s="50"/>
      <c r="E37" s="1201" t="s">
        <v>45</v>
      </c>
      <c r="F37" s="1202"/>
      <c r="G37" s="50"/>
      <c r="H37" s="1201" t="s">
        <v>90</v>
      </c>
      <c r="I37" s="1202"/>
      <c r="J37" s="50"/>
      <c r="K37" s="1201" t="s">
        <v>202</v>
      </c>
      <c r="L37" s="1202"/>
      <c r="M37" s="50"/>
      <c r="N37" s="1201" t="s">
        <v>46</v>
      </c>
      <c r="O37" s="1202"/>
    </row>
    <row r="38" spans="2:16">
      <c r="B38" s="59" t="s">
        <v>35</v>
      </c>
      <c r="C38" s="60" t="s">
        <v>420</v>
      </c>
      <c r="D38" s="50"/>
      <c r="E38" s="59" t="s">
        <v>35</v>
      </c>
      <c r="F38" s="60" t="s">
        <v>420</v>
      </c>
      <c r="G38" s="50"/>
      <c r="H38" s="59" t="s">
        <v>35</v>
      </c>
      <c r="I38" s="60" t="s">
        <v>420</v>
      </c>
      <c r="J38" s="50"/>
      <c r="K38" s="59" t="s">
        <v>35</v>
      </c>
      <c r="L38" s="60" t="s">
        <v>420</v>
      </c>
      <c r="M38" s="50"/>
      <c r="N38" s="59" t="s">
        <v>35</v>
      </c>
      <c r="O38" s="60" t="s">
        <v>420</v>
      </c>
    </row>
    <row r="39" spans="2:16">
      <c r="B39" s="74" t="s">
        <v>480</v>
      </c>
      <c r="C39" s="75">
        <f t="shared" ref="C39:C51" si="10">IF(B39="","",VLOOKUP(B39,Markups,27,FALSE))</f>
        <v>1.880794518660817</v>
      </c>
      <c r="D39" s="50"/>
      <c r="E39" s="74" t="s">
        <v>460</v>
      </c>
      <c r="F39" s="75">
        <f t="shared" ref="F39:F51" si="11">IF(E39="","",VLOOKUP(E39,Markups,27,FALSE))</f>
        <v>1.5118063637331325</v>
      </c>
      <c r="G39" s="50"/>
      <c r="H39" s="74" t="s">
        <v>490</v>
      </c>
      <c r="I39" s="75">
        <f t="shared" ref="I39:I51" si="12">IF(H39="","",VLOOKUP(H39,Markups,27,FALSE))</f>
        <v>1.3715246563297945</v>
      </c>
      <c r="J39" s="50"/>
      <c r="K39" s="74" t="s">
        <v>466</v>
      </c>
      <c r="L39" s="75">
        <f t="shared" ref="L39:L51" si="13">IF(K39="","",VLOOKUP(K39,Markups,27,FALSE))</f>
        <v>1.9624652325263074</v>
      </c>
      <c r="M39" s="50"/>
      <c r="N39" s="74" t="s">
        <v>460</v>
      </c>
      <c r="O39" s="75">
        <f t="shared" ref="O39:O51" si="14">IF(N39="","",VLOOKUP(N39,Markups,27,FALSE))</f>
        <v>1.5118063637331325</v>
      </c>
    </row>
    <row r="40" spans="2:16">
      <c r="B40" s="76" t="s">
        <v>2</v>
      </c>
      <c r="C40" s="75">
        <f t="shared" si="10"/>
        <v>1.843332013349926</v>
      </c>
      <c r="D40" s="50"/>
      <c r="E40" s="76" t="s">
        <v>487</v>
      </c>
      <c r="F40" s="75">
        <f t="shared" si="11"/>
        <v>1.2751498305252358</v>
      </c>
      <c r="G40" s="50"/>
      <c r="H40" s="76" t="s">
        <v>505</v>
      </c>
      <c r="I40" s="75">
        <f t="shared" si="12"/>
        <v>1.8532109024885297</v>
      </c>
      <c r="J40" s="50"/>
      <c r="K40" s="76" t="s">
        <v>492</v>
      </c>
      <c r="L40" s="75">
        <f t="shared" si="13"/>
        <v>1.4338793817725668</v>
      </c>
      <c r="M40" s="50"/>
      <c r="N40" s="76" t="s">
        <v>475</v>
      </c>
      <c r="O40" s="75">
        <f t="shared" si="14"/>
        <v>1.2163868145288612</v>
      </c>
    </row>
    <row r="41" spans="2:16">
      <c r="B41" s="76"/>
      <c r="C41" s="75" t="str">
        <f t="shared" si="10"/>
        <v/>
      </c>
      <c r="D41" s="50"/>
      <c r="E41" s="76" t="s">
        <v>503</v>
      </c>
      <c r="F41" s="75">
        <f t="shared" si="11"/>
        <v>1.7170503046973071</v>
      </c>
      <c r="G41" s="50"/>
      <c r="H41" s="76" t="s">
        <v>524</v>
      </c>
      <c r="I41" s="75">
        <f t="shared" si="12"/>
        <v>1.5945692495921679</v>
      </c>
      <c r="J41" s="50"/>
      <c r="K41" s="76" t="s">
        <v>494</v>
      </c>
      <c r="L41" s="75">
        <f t="shared" si="13"/>
        <v>1.3094718172819266</v>
      </c>
      <c r="M41" s="50"/>
      <c r="N41" s="76" t="s">
        <v>491</v>
      </c>
      <c r="O41" s="75">
        <f t="shared" si="14"/>
        <v>1.5058124508867508</v>
      </c>
    </row>
    <row r="42" spans="2:16">
      <c r="B42" s="76"/>
      <c r="C42" s="75" t="str">
        <f t="shared" si="10"/>
        <v/>
      </c>
      <c r="D42" s="50"/>
      <c r="E42" s="76" t="s">
        <v>4</v>
      </c>
      <c r="F42" s="75">
        <f t="shared" si="11"/>
        <v>1.5344370957081106</v>
      </c>
      <c r="G42" s="50"/>
      <c r="H42" s="76" t="s">
        <v>561</v>
      </c>
      <c r="I42" s="75">
        <f t="shared" si="12"/>
        <v>1.3442785935121684</v>
      </c>
      <c r="J42" s="50"/>
      <c r="K42" s="76" t="s">
        <v>513</v>
      </c>
      <c r="L42" s="75">
        <f t="shared" si="13"/>
        <v>1.649625440707216</v>
      </c>
      <c r="M42" s="50"/>
      <c r="N42" s="76"/>
      <c r="O42" s="75" t="str">
        <f t="shared" si="14"/>
        <v/>
      </c>
    </row>
    <row r="43" spans="2:16">
      <c r="B43" s="76"/>
      <c r="C43" s="75" t="str">
        <f t="shared" si="10"/>
        <v/>
      </c>
      <c r="D43" s="50"/>
      <c r="E43" s="76"/>
      <c r="F43" s="75" t="str">
        <f t="shared" si="11"/>
        <v/>
      </c>
      <c r="G43" s="50"/>
      <c r="H43" s="76" t="s">
        <v>21</v>
      </c>
      <c r="I43" s="75">
        <f t="shared" si="12"/>
        <v>1.5891662506077178</v>
      </c>
      <c r="J43" s="50"/>
      <c r="K43" s="76" t="s">
        <v>523</v>
      </c>
      <c r="L43" s="75">
        <f t="shared" si="13"/>
        <v>1.8155268146653771</v>
      </c>
      <c r="M43" s="50"/>
      <c r="N43" s="76"/>
      <c r="O43" s="75" t="str">
        <f t="shared" si="14"/>
        <v/>
      </c>
    </row>
    <row r="44" spans="2:16">
      <c r="B44" s="76"/>
      <c r="C44" s="75" t="str">
        <f t="shared" si="10"/>
        <v/>
      </c>
      <c r="D44" s="50"/>
      <c r="E44" s="76"/>
      <c r="F44" s="75" t="str">
        <f t="shared" si="11"/>
        <v/>
      </c>
      <c r="G44" s="50"/>
      <c r="H44" s="76"/>
      <c r="I44" s="75" t="str">
        <f t="shared" si="12"/>
        <v/>
      </c>
      <c r="J44" s="50"/>
      <c r="K44" s="76" t="s">
        <v>530</v>
      </c>
      <c r="L44" s="75">
        <f t="shared" si="13"/>
        <v>1.4055682504259679</v>
      </c>
      <c r="M44" s="50"/>
      <c r="N44" s="76"/>
      <c r="O44" s="75" t="str">
        <f t="shared" si="14"/>
        <v/>
      </c>
    </row>
    <row r="45" spans="2:16">
      <c r="B45" s="76"/>
      <c r="C45" s="75" t="str">
        <f t="shared" si="10"/>
        <v/>
      </c>
      <c r="D45" s="50"/>
      <c r="E45" s="76"/>
      <c r="F45" s="75" t="str">
        <f t="shared" si="11"/>
        <v/>
      </c>
      <c r="G45" s="50"/>
      <c r="H45" s="76"/>
      <c r="I45" s="75" t="str">
        <f t="shared" si="12"/>
        <v/>
      </c>
      <c r="J45" s="50"/>
      <c r="K45" s="76" t="s">
        <v>543</v>
      </c>
      <c r="L45" s="75">
        <f t="shared" si="13"/>
        <v>1.3705239101496671</v>
      </c>
      <c r="M45" s="50"/>
      <c r="N45" s="76"/>
      <c r="O45" s="75" t="str">
        <f t="shared" si="14"/>
        <v/>
      </c>
    </row>
    <row r="46" spans="2:16">
      <c r="B46" s="76"/>
      <c r="C46" s="75" t="str">
        <f t="shared" si="10"/>
        <v/>
      </c>
      <c r="D46" s="50"/>
      <c r="E46" s="76"/>
      <c r="F46" s="75" t="str">
        <f t="shared" si="11"/>
        <v/>
      </c>
      <c r="G46" s="50"/>
      <c r="H46" s="76"/>
      <c r="I46" s="75" t="str">
        <f t="shared" si="12"/>
        <v/>
      </c>
      <c r="J46" s="50"/>
      <c r="K46" s="76" t="s">
        <v>552</v>
      </c>
      <c r="L46" s="75">
        <f t="shared" si="13"/>
        <v>1.2816311736340955</v>
      </c>
      <c r="M46" s="50"/>
      <c r="N46" s="76"/>
      <c r="O46" s="75" t="str">
        <f t="shared" si="14"/>
        <v/>
      </c>
    </row>
    <row r="47" spans="2:16">
      <c r="B47" s="76"/>
      <c r="C47" s="75" t="str">
        <f t="shared" si="10"/>
        <v/>
      </c>
      <c r="D47" s="50"/>
      <c r="E47" s="76"/>
      <c r="F47" s="75" t="str">
        <f t="shared" si="11"/>
        <v/>
      </c>
      <c r="G47" s="50"/>
      <c r="H47" s="76"/>
      <c r="I47" s="75" t="str">
        <f t="shared" si="12"/>
        <v/>
      </c>
      <c r="J47" s="50"/>
      <c r="K47" s="76"/>
      <c r="L47" s="75" t="str">
        <f t="shared" si="13"/>
        <v/>
      </c>
      <c r="M47" s="50"/>
      <c r="N47" s="76"/>
      <c r="O47" s="75" t="str">
        <f t="shared" si="14"/>
        <v/>
      </c>
    </row>
    <row r="48" spans="2:16">
      <c r="B48" s="76"/>
      <c r="C48" s="75" t="str">
        <f t="shared" si="10"/>
        <v/>
      </c>
      <c r="D48" s="50"/>
      <c r="E48" s="76"/>
      <c r="F48" s="75" t="str">
        <f t="shared" si="11"/>
        <v/>
      </c>
      <c r="G48" s="50"/>
      <c r="H48" s="76"/>
      <c r="I48" s="75" t="str">
        <f t="shared" si="12"/>
        <v/>
      </c>
      <c r="J48" s="50"/>
      <c r="K48" s="76"/>
      <c r="L48" s="75" t="str">
        <f t="shared" si="13"/>
        <v/>
      </c>
      <c r="M48" s="50"/>
      <c r="N48" s="76"/>
      <c r="O48" s="75" t="str">
        <f t="shared" si="14"/>
        <v/>
      </c>
    </row>
    <row r="49" spans="2:16">
      <c r="B49" s="76"/>
      <c r="C49" s="75" t="str">
        <f t="shared" si="10"/>
        <v/>
      </c>
      <c r="D49" s="50"/>
      <c r="E49" s="76"/>
      <c r="F49" s="75" t="str">
        <f t="shared" si="11"/>
        <v/>
      </c>
      <c r="G49" s="50"/>
      <c r="H49" s="76"/>
      <c r="I49" s="75" t="str">
        <f t="shared" si="12"/>
        <v/>
      </c>
      <c r="J49" s="50"/>
      <c r="K49" s="76"/>
      <c r="L49" s="75" t="str">
        <f t="shared" si="13"/>
        <v/>
      </c>
      <c r="M49" s="50"/>
      <c r="N49" s="76"/>
      <c r="O49" s="75" t="str">
        <f t="shared" si="14"/>
        <v/>
      </c>
    </row>
    <row r="50" spans="2:16">
      <c r="B50" s="76"/>
      <c r="C50" s="75" t="str">
        <f t="shared" si="10"/>
        <v/>
      </c>
      <c r="D50" s="50"/>
      <c r="E50" s="76"/>
      <c r="F50" s="75" t="str">
        <f t="shared" si="11"/>
        <v/>
      </c>
      <c r="G50" s="50"/>
      <c r="H50" s="76"/>
      <c r="I50" s="75" t="str">
        <f t="shared" si="12"/>
        <v/>
      </c>
      <c r="J50" s="50"/>
      <c r="K50" s="76"/>
      <c r="L50" s="75" t="str">
        <f t="shared" si="13"/>
        <v/>
      </c>
      <c r="M50" s="50"/>
      <c r="N50" s="76"/>
      <c r="O50" s="75" t="str">
        <f t="shared" si="14"/>
        <v/>
      </c>
    </row>
    <row r="51" spans="2:16" ht="13.5" thickBot="1">
      <c r="B51" s="77"/>
      <c r="C51" s="75" t="str">
        <f t="shared" si="10"/>
        <v/>
      </c>
      <c r="D51" s="50"/>
      <c r="E51" s="77"/>
      <c r="F51" s="75" t="str">
        <f t="shared" si="11"/>
        <v/>
      </c>
      <c r="G51" s="50"/>
      <c r="H51" s="77"/>
      <c r="I51" s="75" t="str">
        <f t="shared" si="12"/>
        <v/>
      </c>
      <c r="J51" s="50"/>
      <c r="K51" s="77"/>
      <c r="L51" s="75" t="str">
        <f t="shared" si="13"/>
        <v/>
      </c>
      <c r="M51" s="50"/>
      <c r="N51" s="77"/>
      <c r="O51" s="75" t="str">
        <f t="shared" si="14"/>
        <v/>
      </c>
    </row>
    <row r="52" spans="2:16">
      <c r="B52" s="51" t="s">
        <v>42</v>
      </c>
      <c r="C52" s="52">
        <f>AVERAGE(C39:C51)</f>
        <v>1.8620632660053715</v>
      </c>
      <c r="D52" s="50"/>
      <c r="E52" s="51" t="s">
        <v>42</v>
      </c>
      <c r="F52" s="52">
        <f>AVERAGE(F39:F51)</f>
        <v>1.5096108986659464</v>
      </c>
      <c r="G52" s="50"/>
      <c r="H52" s="51" t="s">
        <v>42</v>
      </c>
      <c r="I52" s="52">
        <f>AVERAGE(I39:I51)</f>
        <v>1.5505499305060755</v>
      </c>
      <c r="J52" s="50"/>
      <c r="K52" s="51" t="s">
        <v>42</v>
      </c>
      <c r="L52" s="52">
        <f>AVERAGE(L39:L51)</f>
        <v>1.5285865026453909</v>
      </c>
      <c r="M52" s="50"/>
      <c r="N52" s="51" t="s">
        <v>42</v>
      </c>
      <c r="O52" s="52">
        <f>AVERAGE(O39:O51)</f>
        <v>1.4113352097162482</v>
      </c>
    </row>
    <row r="53" spans="2:16" ht="13.5" thickBot="1">
      <c r="B53" s="53" t="s">
        <v>40</v>
      </c>
      <c r="C53" s="54" t="str">
        <f>CONCATENATE(B39,", ",B40)</f>
        <v>Garmin, TomTom</v>
      </c>
      <c r="D53" s="50" t="s">
        <v>327</v>
      </c>
      <c r="E53" s="53" t="s">
        <v>40</v>
      </c>
      <c r="F53" s="54" t="str">
        <f>CONCATENATE(E39,", ",E40,", ",E41,", ",E42)</f>
        <v>Black &amp; Decker, Hitachi, Makita, Toro Company</v>
      </c>
      <c r="G53" s="50" t="s">
        <v>327</v>
      </c>
      <c r="H53" s="53" t="s">
        <v>40</v>
      </c>
      <c r="I53" s="54" t="str">
        <f>CONCATENATE(H39,", ",H40,", ",H41,", ",H42,", ",H43)</f>
        <v>Ingersoll Rand (Club Car), Mattel, Omron Corp., Textron (E-Z-Go), Yamaha</v>
      </c>
      <c r="J53" s="50" t="s">
        <v>327</v>
      </c>
      <c r="K53" s="53" t="s">
        <v>40</v>
      </c>
      <c r="L53" s="54" t="str">
        <f>CONCATENATE(K39,", ",K40,", ",K41,", ",K42,", ",K43,", ",K44,", ",K45,", ",K46)</f>
        <v>Canon, JVC Kenwood Holdings, Kodak, Nikon, Olympus, Panasonic, Samsung, Sony</v>
      </c>
      <c r="M53" s="50" t="s">
        <v>327</v>
      </c>
      <c r="N53" s="53" t="s">
        <v>40</v>
      </c>
      <c r="O53" s="54" t="str">
        <f>CONCATENATE(N39,", ",N40,", ",N41)</f>
        <v>Black &amp; Decker, Electrolux/Eureka, iRobot</v>
      </c>
      <c r="P53" s="29" t="s">
        <v>327</v>
      </c>
    </row>
    <row r="54" spans="2:16">
      <c r="B54" s="55" t="s">
        <v>43</v>
      </c>
      <c r="C54" s="56" t="s">
        <v>420</v>
      </c>
      <c r="D54" s="50"/>
      <c r="E54" s="55" t="s">
        <v>43</v>
      </c>
      <c r="F54" s="56" t="s">
        <v>420</v>
      </c>
      <c r="G54" s="50"/>
      <c r="H54" s="55" t="s">
        <v>43</v>
      </c>
      <c r="I54" s="56" t="s">
        <v>420</v>
      </c>
      <c r="J54" s="50"/>
      <c r="K54" s="55" t="s">
        <v>43</v>
      </c>
      <c r="L54" s="56" t="s">
        <v>420</v>
      </c>
      <c r="M54" s="50"/>
      <c r="N54" s="55" t="s">
        <v>43</v>
      </c>
      <c r="O54" s="56" t="s">
        <v>420</v>
      </c>
    </row>
    <row r="55" spans="2:16">
      <c r="B55" s="74" t="s">
        <v>427</v>
      </c>
      <c r="C55" s="75">
        <f t="shared" ref="C55:C67" si="15">IF(B55="","",VLOOKUP(B55,Markups,27,FALSE))</f>
        <v>1.2920643625591361</v>
      </c>
      <c r="D55" s="50"/>
      <c r="E55" s="74" t="s">
        <v>427</v>
      </c>
      <c r="F55" s="75">
        <f t="shared" ref="F55:F67" si="16">IF(E55="","",VLOOKUP(E55,Markups,27,FALSE))</f>
        <v>1.2920643625591361</v>
      </c>
      <c r="G55" s="50"/>
      <c r="H55" s="74" t="s">
        <v>427</v>
      </c>
      <c r="I55" s="75">
        <f t="shared" ref="I55:I67" si="17">IF(H55="","",VLOOKUP(H55,Markups,27,FALSE))</f>
        <v>1.2920643625591361</v>
      </c>
      <c r="J55" s="50"/>
      <c r="K55" s="74" t="s">
        <v>427</v>
      </c>
      <c r="L55" s="75">
        <f t="shared" ref="L55:L67" si="18">IF(K55="","",VLOOKUP(K55,Markups,27,FALSE))</f>
        <v>1.2920643625591361</v>
      </c>
      <c r="M55" s="50"/>
      <c r="N55" s="74" t="s">
        <v>427</v>
      </c>
      <c r="O55" s="75">
        <f t="shared" ref="O55:O67" si="19">IF(N55="","",VLOOKUP(N55,Markups,27,FALSE))</f>
        <v>1.2920643625591361</v>
      </c>
    </row>
    <row r="56" spans="2:16">
      <c r="B56" s="76" t="s">
        <v>458</v>
      </c>
      <c r="C56" s="75">
        <f t="shared" si="15"/>
        <v>1.3197779396445328</v>
      </c>
      <c r="D56" s="50"/>
      <c r="E56" s="76" t="s">
        <v>501</v>
      </c>
      <c r="F56" s="75">
        <f t="shared" si="16"/>
        <v>1.525752749155733</v>
      </c>
      <c r="G56" s="50"/>
      <c r="H56" s="76" t="s">
        <v>457</v>
      </c>
      <c r="I56" s="75">
        <f t="shared" si="17"/>
        <v>1.9985150225541373</v>
      </c>
      <c r="J56" s="50"/>
      <c r="K56" s="76" t="s">
        <v>458</v>
      </c>
      <c r="L56" s="75">
        <f t="shared" si="18"/>
        <v>1.3197779396445328</v>
      </c>
      <c r="M56" s="50"/>
      <c r="N56" s="76" t="s">
        <v>260</v>
      </c>
      <c r="O56" s="75">
        <f t="shared" si="19"/>
        <v>1.7072855130635147</v>
      </c>
    </row>
    <row r="57" spans="2:16">
      <c r="B57" s="76" t="s">
        <v>468</v>
      </c>
      <c r="C57" s="75">
        <f t="shared" si="15"/>
        <v>1.14267926763737</v>
      </c>
      <c r="D57" s="50"/>
      <c r="E57" s="76" t="s">
        <v>550</v>
      </c>
      <c r="F57" s="75">
        <f t="shared" si="16"/>
        <v>1.3854571449532873</v>
      </c>
      <c r="G57" s="50"/>
      <c r="H57" s="76" t="s">
        <v>0</v>
      </c>
      <c r="I57" s="75">
        <f t="shared" si="17"/>
        <v>1.5064433102138217</v>
      </c>
      <c r="J57" s="50"/>
      <c r="K57" s="76" t="s">
        <v>468</v>
      </c>
      <c r="L57" s="75">
        <f t="shared" si="18"/>
        <v>1.14267926763737</v>
      </c>
      <c r="M57" s="50"/>
      <c r="N57" s="76" t="s">
        <v>468</v>
      </c>
      <c r="O57" s="75">
        <f t="shared" si="19"/>
        <v>1.14267926763737</v>
      </c>
    </row>
    <row r="58" spans="2:16">
      <c r="B58" s="76" t="s">
        <v>536</v>
      </c>
      <c r="C58" s="75">
        <f t="shared" si="15"/>
        <v>1.8498434320288231</v>
      </c>
      <c r="D58" s="50"/>
      <c r="E58" s="76" t="s">
        <v>559</v>
      </c>
      <c r="F58" s="75">
        <f t="shared" si="16"/>
        <v>1.4735653832896356</v>
      </c>
      <c r="G58" s="50"/>
      <c r="H58" s="76" t="s">
        <v>490</v>
      </c>
      <c r="I58" s="75">
        <f t="shared" si="17"/>
        <v>1.3715246563297945</v>
      </c>
      <c r="J58" s="50"/>
      <c r="K58" s="76" t="s">
        <v>522</v>
      </c>
      <c r="L58" s="75">
        <f t="shared" si="18"/>
        <v>1.4129161390078462</v>
      </c>
      <c r="M58" s="50"/>
      <c r="N58" s="76" t="s">
        <v>501</v>
      </c>
      <c r="O58" s="75">
        <f t="shared" si="19"/>
        <v>1.525752749155733</v>
      </c>
    </row>
    <row r="59" spans="2:16">
      <c r="B59" s="76" t="s">
        <v>550</v>
      </c>
      <c r="C59" s="75">
        <f t="shared" si="15"/>
        <v>1.3854571449532873</v>
      </c>
      <c r="D59" s="50"/>
      <c r="E59" s="76" t="s">
        <v>0</v>
      </c>
      <c r="F59" s="75">
        <f t="shared" si="16"/>
        <v>1.5064433102138217</v>
      </c>
      <c r="G59" s="50"/>
      <c r="H59" s="76" t="s">
        <v>532</v>
      </c>
      <c r="I59" s="75">
        <f t="shared" si="17"/>
        <v>1.3167317697620826</v>
      </c>
      <c r="J59" s="50"/>
      <c r="K59" s="76" t="s">
        <v>536</v>
      </c>
      <c r="L59" s="75">
        <f t="shared" si="18"/>
        <v>1.8498434320288231</v>
      </c>
      <c r="M59" s="50"/>
      <c r="N59" s="76" t="s">
        <v>550</v>
      </c>
      <c r="O59" s="75">
        <f t="shared" si="19"/>
        <v>1.3854571449532873</v>
      </c>
    </row>
    <row r="60" spans="2:16">
      <c r="B60" s="76" t="s">
        <v>555</v>
      </c>
      <c r="C60" s="75">
        <f t="shared" si="15"/>
        <v>1.3910573165662548</v>
      </c>
      <c r="D60" s="50"/>
      <c r="E60" s="76" t="s">
        <v>17</v>
      </c>
      <c r="F60" s="75">
        <f t="shared" si="16"/>
        <v>1.3220783011842456</v>
      </c>
      <c r="G60" s="50"/>
      <c r="H60" s="76" t="s">
        <v>536</v>
      </c>
      <c r="I60" s="75">
        <f t="shared" si="17"/>
        <v>1.8498434320288231</v>
      </c>
      <c r="J60" s="50"/>
      <c r="K60" s="76" t="s">
        <v>550</v>
      </c>
      <c r="L60" s="75">
        <f t="shared" si="18"/>
        <v>1.3854571449532873</v>
      </c>
      <c r="M60" s="50"/>
      <c r="N60" s="76" t="s">
        <v>559</v>
      </c>
      <c r="O60" s="75">
        <f t="shared" si="19"/>
        <v>1.4735653832896356</v>
      </c>
    </row>
    <row r="61" spans="2:16">
      <c r="B61" s="76" t="s">
        <v>559</v>
      </c>
      <c r="C61" s="75">
        <f t="shared" si="15"/>
        <v>1.4735653832896356</v>
      </c>
      <c r="D61" s="50"/>
      <c r="E61" s="76"/>
      <c r="F61" s="75" t="str">
        <f t="shared" si="16"/>
        <v/>
      </c>
      <c r="G61" s="50"/>
      <c r="H61" s="76" t="s">
        <v>550</v>
      </c>
      <c r="I61" s="75">
        <f t="shared" si="17"/>
        <v>1.3854571449532873</v>
      </c>
      <c r="J61" s="50"/>
      <c r="K61" s="76" t="s">
        <v>555</v>
      </c>
      <c r="L61" s="75">
        <f t="shared" si="18"/>
        <v>1.3910573165662548</v>
      </c>
      <c r="M61" s="50"/>
      <c r="N61" s="76" t="s">
        <v>0</v>
      </c>
      <c r="O61" s="75">
        <f t="shared" si="19"/>
        <v>1.5064433102138217</v>
      </c>
    </row>
    <row r="62" spans="2:16">
      <c r="B62" s="76" t="s">
        <v>17</v>
      </c>
      <c r="C62" s="75">
        <f t="shared" si="15"/>
        <v>1.3220783011842456</v>
      </c>
      <c r="D62" s="50"/>
      <c r="E62" s="76"/>
      <c r="F62" s="75" t="str">
        <f t="shared" si="16"/>
        <v/>
      </c>
      <c r="G62" s="50"/>
      <c r="H62" s="76" t="s">
        <v>561</v>
      </c>
      <c r="I62" s="75">
        <f t="shared" si="17"/>
        <v>1.3442785935121684</v>
      </c>
      <c r="J62" s="50"/>
      <c r="K62" s="76" t="s">
        <v>559</v>
      </c>
      <c r="L62" s="75">
        <f t="shared" si="18"/>
        <v>1.4735653832896356</v>
      </c>
      <c r="M62" s="50"/>
      <c r="N62" s="76" t="s">
        <v>17</v>
      </c>
      <c r="O62" s="75">
        <f t="shared" si="19"/>
        <v>1.3220783011842456</v>
      </c>
    </row>
    <row r="63" spans="2:16">
      <c r="B63" s="76"/>
      <c r="C63" s="75" t="str">
        <f t="shared" si="15"/>
        <v/>
      </c>
      <c r="D63" s="50"/>
      <c r="E63" s="76"/>
      <c r="F63" s="75" t="str">
        <f t="shared" si="16"/>
        <v/>
      </c>
      <c r="G63" s="50"/>
      <c r="H63" s="76" t="s">
        <v>21</v>
      </c>
      <c r="I63" s="75">
        <f t="shared" si="17"/>
        <v>1.5891662506077178</v>
      </c>
      <c r="J63" s="50"/>
      <c r="K63" s="76" t="s">
        <v>17</v>
      </c>
      <c r="L63" s="75">
        <f t="shared" si="18"/>
        <v>1.3220783011842456</v>
      </c>
      <c r="M63" s="50"/>
      <c r="N63" s="76"/>
      <c r="O63" s="75" t="str">
        <f t="shared" si="19"/>
        <v/>
      </c>
    </row>
    <row r="64" spans="2:16">
      <c r="B64" s="76"/>
      <c r="C64" s="75" t="str">
        <f t="shared" si="15"/>
        <v/>
      </c>
      <c r="D64" s="50"/>
      <c r="E64" s="76"/>
      <c r="F64" s="75" t="str">
        <f t="shared" si="16"/>
        <v/>
      </c>
      <c r="G64" s="50"/>
      <c r="H64" s="76"/>
      <c r="I64" s="75" t="str">
        <f t="shared" si="17"/>
        <v/>
      </c>
      <c r="J64" s="50"/>
      <c r="K64" s="76"/>
      <c r="L64" s="75" t="str">
        <f t="shared" si="18"/>
        <v/>
      </c>
      <c r="M64" s="50"/>
      <c r="N64" s="76"/>
      <c r="O64" s="75" t="str">
        <f t="shared" si="19"/>
        <v/>
      </c>
    </row>
    <row r="65" spans="2:16">
      <c r="B65" s="76"/>
      <c r="C65" s="75" t="str">
        <f t="shared" si="15"/>
        <v/>
      </c>
      <c r="D65" s="50"/>
      <c r="E65" s="76"/>
      <c r="F65" s="75" t="str">
        <f t="shared" si="16"/>
        <v/>
      </c>
      <c r="G65" s="50"/>
      <c r="H65" s="76"/>
      <c r="I65" s="75" t="str">
        <f t="shared" si="17"/>
        <v/>
      </c>
      <c r="J65" s="50"/>
      <c r="K65" s="76"/>
      <c r="L65" s="75" t="str">
        <f t="shared" si="18"/>
        <v/>
      </c>
      <c r="M65" s="50"/>
      <c r="N65" s="76"/>
      <c r="O65" s="75" t="str">
        <f t="shared" si="19"/>
        <v/>
      </c>
    </row>
    <row r="66" spans="2:16">
      <c r="B66" s="76"/>
      <c r="C66" s="75" t="str">
        <f t="shared" si="15"/>
        <v/>
      </c>
      <c r="D66" s="50"/>
      <c r="E66" s="76"/>
      <c r="F66" s="75" t="str">
        <f t="shared" si="16"/>
        <v/>
      </c>
      <c r="G66" s="50"/>
      <c r="H66" s="76"/>
      <c r="I66" s="75" t="str">
        <f t="shared" si="17"/>
        <v/>
      </c>
      <c r="J66" s="50"/>
      <c r="K66" s="76"/>
      <c r="L66" s="75" t="str">
        <f t="shared" si="18"/>
        <v/>
      </c>
      <c r="M66" s="50"/>
      <c r="N66" s="76"/>
      <c r="O66" s="75" t="str">
        <f t="shared" si="19"/>
        <v/>
      </c>
    </row>
    <row r="67" spans="2:16" ht="13.5" thickBot="1">
      <c r="B67" s="77"/>
      <c r="C67" s="75" t="str">
        <f t="shared" si="15"/>
        <v/>
      </c>
      <c r="D67" s="50"/>
      <c r="E67" s="77"/>
      <c r="F67" s="75" t="str">
        <f t="shared" si="16"/>
        <v/>
      </c>
      <c r="G67" s="50"/>
      <c r="H67" s="77"/>
      <c r="I67" s="75" t="str">
        <f t="shared" si="17"/>
        <v/>
      </c>
      <c r="J67" s="50"/>
      <c r="K67" s="77"/>
      <c r="L67" s="75" t="str">
        <f t="shared" si="18"/>
        <v/>
      </c>
      <c r="M67" s="50"/>
      <c r="N67" s="77"/>
      <c r="O67" s="75" t="str">
        <f t="shared" si="19"/>
        <v/>
      </c>
    </row>
    <row r="68" spans="2:16">
      <c r="B68" s="51" t="s">
        <v>42</v>
      </c>
      <c r="C68" s="52">
        <f>AVERAGE(C55:C67)</f>
        <v>1.3970653934829105</v>
      </c>
      <c r="D68" s="50"/>
      <c r="E68" s="51" t="s">
        <v>42</v>
      </c>
      <c r="F68" s="52">
        <f>AVERAGE(F55:F67)</f>
        <v>1.41756020855931</v>
      </c>
      <c r="G68" s="50"/>
      <c r="H68" s="51" t="s">
        <v>42</v>
      </c>
      <c r="I68" s="52">
        <f>AVERAGE(I55:I67)</f>
        <v>1.5171138380578855</v>
      </c>
      <c r="J68" s="50"/>
      <c r="K68" s="51" t="s">
        <v>42</v>
      </c>
      <c r="L68" s="52">
        <f>AVERAGE(L55:L67)</f>
        <v>1.3988265874301256</v>
      </c>
      <c r="M68" s="50"/>
      <c r="N68" s="51" t="s">
        <v>42</v>
      </c>
      <c r="O68" s="52">
        <f>AVERAGE(O55:O67)</f>
        <v>1.4194157540070929</v>
      </c>
    </row>
    <row r="69" spans="2:16" ht="13.5" thickBot="1">
      <c r="B69" s="53" t="s">
        <v>40</v>
      </c>
      <c r="C69" s="54" t="str">
        <f>CONCATENATE(B55,", ",B56,", ",B57,", ",B58,", ",B59,", ",B60,", ",B61,", ",B62)</f>
        <v>Amazon.com, Best Buy, Costco Wholesale, Radioshack, Sears, Staples, Target, Walmart</v>
      </c>
      <c r="D69" s="50" t="s">
        <v>327</v>
      </c>
      <c r="E69" s="53" t="s">
        <v>40</v>
      </c>
      <c r="F69" s="54" t="str">
        <f>CONCATENATE(E55,", ",E56,", ",E57,", ",E58,", ",E59,", ",E60)</f>
        <v>Amazon.com, Lowe's, Sears, Target, The Home Depot, Walmart</v>
      </c>
      <c r="G69" s="50" t="s">
        <v>327</v>
      </c>
      <c r="H69" s="53" t="s">
        <v>40</v>
      </c>
      <c r="I69" s="54" t="str">
        <f>CONCATENATE(H55,", ",H56,", ",H57,", ",H58,", ",H59,", ",H60,", ",H61,", ",H62,", ",H63)</f>
        <v>Amazon.com, Autozone, The Home Depot, Ingersoll Rand (Club Car), Pep Boys, Radioshack, Sears, Textron (E-Z-Go), Yamaha</v>
      </c>
      <c r="J69" s="50" t="s">
        <v>327</v>
      </c>
      <c r="K69" s="53" t="s">
        <v>40</v>
      </c>
      <c r="L69" s="54" t="str">
        <f>CONCATENATE(K55,", ",K56,", ",K57,", ",K58,", ",K59,", ",K60,", ",K61,", ",K62,", ",K63,", ",K64,", ",K65,", ",K66)</f>
        <v xml:space="preserve">Amazon.com, Best Buy, Costco Wholesale, Office depot, Radioshack, Sears, Staples, Target, Walmart, , , </v>
      </c>
      <c r="M69" s="50" t="s">
        <v>327</v>
      </c>
      <c r="N69" s="53" t="s">
        <v>40</v>
      </c>
      <c r="O69" s="54" t="str">
        <f>CONCATENATE(N55,", ",N56,", ",N57,", ",N58,", ",N59,", ",N60,", ",N61,", ",N62)</f>
        <v>Amazon.com, Bed Bath &amp; Beyond, Costco Wholesale, Lowe's, Sears, Target, The Home Depot, Walmart</v>
      </c>
      <c r="P69" s="29" t="s">
        <v>327</v>
      </c>
    </row>
    <row r="70" spans="2:16" ht="13.5" thickBot="1">
      <c r="B70" s="57" t="s">
        <v>39</v>
      </c>
      <c r="C70" s="58">
        <f>(C52*C68)</f>
        <v>2.6014241494118679</v>
      </c>
      <c r="D70" s="50"/>
      <c r="E70" s="57" t="s">
        <v>39</v>
      </c>
      <c r="F70" s="58">
        <f>(F52*F68)</f>
        <v>2.1399643403563062</v>
      </c>
      <c r="G70" s="50"/>
      <c r="H70" s="57" t="s">
        <v>39</v>
      </c>
      <c r="I70" s="58">
        <f>(I52*I68)</f>
        <v>2.3523607561704596</v>
      </c>
      <c r="J70" s="50"/>
      <c r="K70" s="57" t="s">
        <v>39</v>
      </c>
      <c r="L70" s="58">
        <f>(L52*L68)</f>
        <v>2.1382274410872029</v>
      </c>
      <c r="M70" s="50"/>
      <c r="N70" s="57" t="s">
        <v>39</v>
      </c>
      <c r="O70" s="58">
        <f>(O52*O68)</f>
        <v>2.003271430856147</v>
      </c>
    </row>
    <row r="71" spans="2:16" ht="13.5" thickBot="1">
      <c r="B71" s="50"/>
      <c r="C71" s="50"/>
      <c r="D71" s="50"/>
      <c r="E71" s="50"/>
      <c r="F71" s="50"/>
      <c r="G71" s="50"/>
      <c r="H71" s="50"/>
      <c r="I71" s="50"/>
      <c r="J71" s="50"/>
      <c r="K71" s="50"/>
      <c r="L71" s="50"/>
      <c r="M71" s="50"/>
      <c r="N71" s="50"/>
      <c r="O71" s="50"/>
    </row>
    <row r="72" spans="2:16" ht="15.75" thickBot="1">
      <c r="B72" s="1201" t="s">
        <v>47</v>
      </c>
      <c r="C72" s="1202"/>
      <c r="D72" s="50"/>
      <c r="E72" s="1201" t="s">
        <v>92</v>
      </c>
      <c r="F72" s="1202"/>
      <c r="G72" s="50"/>
      <c r="H72" s="1201" t="s">
        <v>88</v>
      </c>
      <c r="I72" s="1202"/>
      <c r="J72" s="50"/>
      <c r="K72" s="1201" t="s">
        <v>201</v>
      </c>
      <c r="L72" s="1202"/>
      <c r="M72" s="50"/>
      <c r="N72" s="1201" t="s">
        <v>105</v>
      </c>
      <c r="O72" s="1202"/>
    </row>
    <row r="73" spans="2:16">
      <c r="B73" s="59" t="s">
        <v>35</v>
      </c>
      <c r="C73" s="60" t="s">
        <v>420</v>
      </c>
      <c r="D73" s="50"/>
      <c r="E73" s="59" t="s">
        <v>35</v>
      </c>
      <c r="F73" s="60" t="s">
        <v>420</v>
      </c>
      <c r="G73" s="50"/>
      <c r="H73" s="59" t="s">
        <v>35</v>
      </c>
      <c r="I73" s="60" t="s">
        <v>420</v>
      </c>
      <c r="J73" s="50"/>
      <c r="K73" s="59" t="s">
        <v>35</v>
      </c>
      <c r="L73" s="60" t="s">
        <v>420</v>
      </c>
      <c r="M73" s="50"/>
      <c r="N73" s="55" t="s">
        <v>48</v>
      </c>
      <c r="O73" s="56" t="s">
        <v>420</v>
      </c>
    </row>
    <row r="74" spans="2:16">
      <c r="B74" s="74" t="s">
        <v>515</v>
      </c>
      <c r="C74" s="75">
        <f t="shared" ref="C74:C86" si="20">IF(B74="","",VLOOKUP(B74,Markups,27,FALSE))</f>
        <v>1.7097216698799782</v>
      </c>
      <c r="D74" s="50"/>
      <c r="E74" s="74" t="s">
        <v>530</v>
      </c>
      <c r="F74" s="75">
        <f t="shared" ref="F74:F86" si="21">IF(E74="","",VLOOKUP(E74,Markups,27,FALSE))</f>
        <v>1.4055682504259679</v>
      </c>
      <c r="G74" s="50"/>
      <c r="H74" s="74" t="s">
        <v>470</v>
      </c>
      <c r="I74" s="75">
        <f t="shared" ref="I74:I86" si="22">IF(H74="","",VLOOKUP(H74,Markups,27,FALSE))</f>
        <v>2.0954072182411778</v>
      </c>
      <c r="J74" s="50"/>
      <c r="K74" s="74" t="s">
        <v>482</v>
      </c>
      <c r="L74" s="75">
        <f t="shared" ref="L74:L86" si="23">IF(K74="","",VLOOKUP(K74,Markups,27,FALSE))</f>
        <v>1.3807501266409743</v>
      </c>
      <c r="M74" s="50"/>
      <c r="N74" s="74" t="s">
        <v>24</v>
      </c>
      <c r="O74" s="75">
        <f t="shared" ref="O74:O86" si="24">IF(N74="","",(VLOOKUP(N74,BCEPSDistributors,27,FALSE)))</f>
        <v>1.1668066282489269</v>
      </c>
    </row>
    <row r="75" spans="2:16">
      <c r="B75" s="76" t="s">
        <v>552</v>
      </c>
      <c r="C75" s="75">
        <f t="shared" si="20"/>
        <v>1.2816311736340955</v>
      </c>
      <c r="D75" s="50"/>
      <c r="E75" s="76" t="s">
        <v>533</v>
      </c>
      <c r="F75" s="75">
        <f t="shared" si="21"/>
        <v>1.4998875694220644</v>
      </c>
      <c r="G75" s="50"/>
      <c r="H75" s="76" t="s">
        <v>524</v>
      </c>
      <c r="I75" s="75">
        <f t="shared" si="22"/>
        <v>1.5945692495921679</v>
      </c>
      <c r="J75" s="50"/>
      <c r="K75" s="76" t="s">
        <v>488</v>
      </c>
      <c r="L75" s="75">
        <f t="shared" si="23"/>
        <v>1.3075912281743178</v>
      </c>
      <c r="M75" s="50"/>
      <c r="N75" s="76" t="s">
        <v>25</v>
      </c>
      <c r="O75" s="75">
        <f t="shared" si="24"/>
        <v>1.1468719790826614</v>
      </c>
    </row>
    <row r="76" spans="2:16">
      <c r="B76" s="76" t="s">
        <v>505</v>
      </c>
      <c r="C76" s="75">
        <f t="shared" si="20"/>
        <v>1.8532109024885297</v>
      </c>
      <c r="D76" s="50"/>
      <c r="E76" s="76"/>
      <c r="F76" s="75" t="str">
        <f t="shared" si="21"/>
        <v/>
      </c>
      <c r="G76" s="50"/>
      <c r="H76" s="76" t="s">
        <v>533</v>
      </c>
      <c r="I76" s="75">
        <f t="shared" si="22"/>
        <v>1.4998875694220644</v>
      </c>
      <c r="J76" s="50"/>
      <c r="K76" s="76" t="s">
        <v>509</v>
      </c>
      <c r="L76" s="75">
        <f t="shared" si="23"/>
        <v>1.4827356367061393</v>
      </c>
      <c r="M76" s="50"/>
      <c r="N76" s="76" t="s">
        <v>27</v>
      </c>
      <c r="O76" s="75">
        <f t="shared" si="24"/>
        <v>1.0954775871433597</v>
      </c>
    </row>
    <row r="77" spans="2:16">
      <c r="B77" s="76"/>
      <c r="C77" s="75" t="str">
        <f t="shared" si="20"/>
        <v/>
      </c>
      <c r="D77" s="50"/>
      <c r="E77" s="76"/>
      <c r="F77" s="75" t="str">
        <f t="shared" si="21"/>
        <v/>
      </c>
      <c r="G77" s="50"/>
      <c r="H77" s="76" t="s">
        <v>539</v>
      </c>
      <c r="I77" s="75">
        <f t="shared" si="22"/>
        <v>2.5363695762625622</v>
      </c>
      <c r="J77" s="50"/>
      <c r="K77" s="76" t="s">
        <v>4</v>
      </c>
      <c r="L77" s="75">
        <f t="shared" si="23"/>
        <v>1.5344370957081106</v>
      </c>
      <c r="M77" s="50"/>
      <c r="N77" s="76" t="s">
        <v>28</v>
      </c>
      <c r="O77" s="75">
        <f t="shared" si="24"/>
        <v>1.1922540935373629</v>
      </c>
    </row>
    <row r="78" spans="2:16">
      <c r="B78" s="76"/>
      <c r="C78" s="75" t="str">
        <f t="shared" si="20"/>
        <v/>
      </c>
      <c r="D78" s="50"/>
      <c r="E78" s="76"/>
      <c r="F78" s="75" t="str">
        <f t="shared" si="21"/>
        <v/>
      </c>
      <c r="G78" s="50"/>
      <c r="H78" s="76"/>
      <c r="I78" s="75" t="str">
        <f t="shared" si="22"/>
        <v/>
      </c>
      <c r="J78" s="50"/>
      <c r="K78" s="76" t="s">
        <v>19</v>
      </c>
      <c r="L78" s="75">
        <f t="shared" si="23"/>
        <v>1.1671990551856608</v>
      </c>
      <c r="M78" s="50"/>
      <c r="N78" s="76"/>
      <c r="O78" s="75" t="str">
        <f t="shared" si="24"/>
        <v/>
      </c>
    </row>
    <row r="79" spans="2:16">
      <c r="B79" s="76"/>
      <c r="C79" s="75" t="str">
        <f t="shared" si="20"/>
        <v/>
      </c>
      <c r="D79" s="50"/>
      <c r="E79" s="76"/>
      <c r="F79" s="75" t="str">
        <f t="shared" si="21"/>
        <v/>
      </c>
      <c r="G79" s="50"/>
      <c r="H79" s="76"/>
      <c r="I79" s="75" t="str">
        <f t="shared" si="22"/>
        <v/>
      </c>
      <c r="J79" s="50"/>
      <c r="K79" s="76"/>
      <c r="L79" s="75" t="str">
        <f t="shared" si="23"/>
        <v/>
      </c>
      <c r="M79" s="50"/>
      <c r="N79" s="76"/>
      <c r="O79" s="75" t="str">
        <f t="shared" si="24"/>
        <v/>
      </c>
    </row>
    <row r="80" spans="2:16">
      <c r="B80" s="76"/>
      <c r="C80" s="75" t="str">
        <f t="shared" si="20"/>
        <v/>
      </c>
      <c r="D80" s="50"/>
      <c r="E80" s="76"/>
      <c r="F80" s="75" t="str">
        <f t="shared" si="21"/>
        <v/>
      </c>
      <c r="G80" s="50"/>
      <c r="H80" s="76"/>
      <c r="I80" s="75" t="str">
        <f t="shared" si="22"/>
        <v/>
      </c>
      <c r="J80" s="50"/>
      <c r="K80" s="76"/>
      <c r="L80" s="75" t="str">
        <f t="shared" si="23"/>
        <v/>
      </c>
      <c r="M80" s="50"/>
      <c r="N80" s="76"/>
      <c r="O80" s="75" t="str">
        <f t="shared" si="24"/>
        <v/>
      </c>
    </row>
    <row r="81" spans="2:16">
      <c r="B81" s="76"/>
      <c r="C81" s="75" t="str">
        <f t="shared" si="20"/>
        <v/>
      </c>
      <c r="D81" s="50"/>
      <c r="E81" s="76"/>
      <c r="F81" s="75" t="str">
        <f t="shared" si="21"/>
        <v/>
      </c>
      <c r="G81" s="50"/>
      <c r="H81" s="76"/>
      <c r="I81" s="75" t="str">
        <f t="shared" si="22"/>
        <v/>
      </c>
      <c r="J81" s="50"/>
      <c r="K81" s="76"/>
      <c r="L81" s="75" t="str">
        <f t="shared" si="23"/>
        <v/>
      </c>
      <c r="M81" s="50"/>
      <c r="N81" s="76"/>
      <c r="O81" s="75" t="str">
        <f t="shared" si="24"/>
        <v/>
      </c>
    </row>
    <row r="82" spans="2:16">
      <c r="B82" s="76"/>
      <c r="C82" s="75" t="str">
        <f t="shared" si="20"/>
        <v/>
      </c>
      <c r="D82" s="50"/>
      <c r="E82" s="76"/>
      <c r="F82" s="75" t="str">
        <f t="shared" si="21"/>
        <v/>
      </c>
      <c r="G82" s="50"/>
      <c r="H82" s="76"/>
      <c r="I82" s="75" t="str">
        <f t="shared" si="22"/>
        <v/>
      </c>
      <c r="J82" s="50"/>
      <c r="K82" s="76"/>
      <c r="L82" s="75" t="str">
        <f t="shared" si="23"/>
        <v/>
      </c>
      <c r="M82" s="50"/>
      <c r="N82" s="76"/>
      <c r="O82" s="75" t="str">
        <f t="shared" si="24"/>
        <v/>
      </c>
    </row>
    <row r="83" spans="2:16">
      <c r="B83" s="76"/>
      <c r="C83" s="75" t="str">
        <f t="shared" si="20"/>
        <v/>
      </c>
      <c r="D83" s="50"/>
      <c r="E83" s="76"/>
      <c r="F83" s="75" t="str">
        <f t="shared" si="21"/>
        <v/>
      </c>
      <c r="G83" s="50"/>
      <c r="H83" s="76"/>
      <c r="I83" s="75" t="str">
        <f t="shared" si="22"/>
        <v/>
      </c>
      <c r="J83" s="50"/>
      <c r="K83" s="76"/>
      <c r="L83" s="75" t="str">
        <f t="shared" si="23"/>
        <v/>
      </c>
      <c r="M83" s="50"/>
      <c r="N83" s="76"/>
      <c r="O83" s="75" t="str">
        <f t="shared" si="24"/>
        <v/>
      </c>
    </row>
    <row r="84" spans="2:16">
      <c r="B84" s="76"/>
      <c r="C84" s="75" t="str">
        <f t="shared" si="20"/>
        <v/>
      </c>
      <c r="D84" s="50"/>
      <c r="E84" s="76"/>
      <c r="F84" s="75" t="str">
        <f t="shared" si="21"/>
        <v/>
      </c>
      <c r="G84" s="50"/>
      <c r="H84" s="76"/>
      <c r="I84" s="75" t="str">
        <f t="shared" si="22"/>
        <v/>
      </c>
      <c r="J84" s="50"/>
      <c r="K84" s="76"/>
      <c r="L84" s="75" t="str">
        <f t="shared" si="23"/>
        <v/>
      </c>
      <c r="M84" s="50"/>
      <c r="N84" s="76"/>
      <c r="O84" s="75" t="str">
        <f t="shared" si="24"/>
        <v/>
      </c>
    </row>
    <row r="85" spans="2:16">
      <c r="B85" s="76"/>
      <c r="C85" s="75" t="str">
        <f t="shared" si="20"/>
        <v/>
      </c>
      <c r="D85" s="50"/>
      <c r="E85" s="76"/>
      <c r="F85" s="75" t="str">
        <f t="shared" si="21"/>
        <v/>
      </c>
      <c r="G85" s="50"/>
      <c r="H85" s="76"/>
      <c r="I85" s="75" t="str">
        <f t="shared" si="22"/>
        <v/>
      </c>
      <c r="J85" s="50"/>
      <c r="K85" s="76"/>
      <c r="L85" s="75" t="str">
        <f t="shared" si="23"/>
        <v/>
      </c>
      <c r="M85" s="50"/>
      <c r="N85" s="76"/>
      <c r="O85" s="75" t="str">
        <f t="shared" si="24"/>
        <v/>
      </c>
    </row>
    <row r="86" spans="2:16" ht="13.5" thickBot="1">
      <c r="B86" s="77"/>
      <c r="C86" s="75" t="str">
        <f t="shared" si="20"/>
        <v/>
      </c>
      <c r="D86" s="50"/>
      <c r="E86" s="77"/>
      <c r="F86" s="75" t="str">
        <f t="shared" si="21"/>
        <v/>
      </c>
      <c r="G86" s="50"/>
      <c r="H86" s="77"/>
      <c r="I86" s="75" t="str">
        <f t="shared" si="22"/>
        <v/>
      </c>
      <c r="J86" s="50"/>
      <c r="K86" s="77"/>
      <c r="L86" s="75" t="str">
        <f t="shared" si="23"/>
        <v/>
      </c>
      <c r="M86" s="50"/>
      <c r="N86" s="77"/>
      <c r="O86" s="75" t="str">
        <f t="shared" si="24"/>
        <v/>
      </c>
    </row>
    <row r="87" spans="2:16">
      <c r="B87" s="51" t="s">
        <v>42</v>
      </c>
      <c r="C87" s="52">
        <f>AVERAGE(C74:C86)</f>
        <v>1.614854582000868</v>
      </c>
      <c r="D87" s="50"/>
      <c r="E87" s="51" t="s">
        <v>42</v>
      </c>
      <c r="F87" s="52">
        <f>AVERAGE(F74:F86)</f>
        <v>1.452727909924016</v>
      </c>
      <c r="G87" s="50"/>
      <c r="H87" s="51" t="s">
        <v>42</v>
      </c>
      <c r="I87" s="52">
        <f>AVERAGE(I74:I86)</f>
        <v>1.9315584033794932</v>
      </c>
      <c r="J87" s="50"/>
      <c r="K87" s="51" t="s">
        <v>42</v>
      </c>
      <c r="L87" s="52">
        <f>AVERAGE(L74:L86)</f>
        <v>1.3745426284830404</v>
      </c>
      <c r="M87" s="50"/>
      <c r="N87" s="51" t="s">
        <v>42</v>
      </c>
      <c r="O87" s="52">
        <f>AVERAGE(O74:O86)</f>
        <v>1.1503525720030776</v>
      </c>
    </row>
    <row r="88" spans="2:16" ht="13.5" thickBot="1">
      <c r="B88" s="53" t="s">
        <v>40</v>
      </c>
      <c r="C88" s="54" t="str">
        <f>CONCATENATE(B74,", ",B75,", ",B76)</f>
        <v>Nintendo, Sony, Mattel</v>
      </c>
      <c r="D88" s="50" t="s">
        <v>327</v>
      </c>
      <c r="E88" s="53" t="s">
        <v>40</v>
      </c>
      <c r="F88" s="54" t="str">
        <f>CONCATENATE(E74,", ",E75)</f>
        <v>Panasonic, Philips</v>
      </c>
      <c r="G88" s="50" t="s">
        <v>327</v>
      </c>
      <c r="H88" s="53" t="s">
        <v>40</v>
      </c>
      <c r="I88" s="54" t="str">
        <f>CONCATENATE(H74,", ",H75,", ",H76,", ",H77)</f>
        <v>Covidien, Omron Corp., Philips, Resmed</v>
      </c>
      <c r="J88" s="50" t="s">
        <v>327</v>
      </c>
      <c r="K88" s="53" t="s">
        <v>40</v>
      </c>
      <c r="L88" s="54" t="str">
        <f>CONCATENATE(K74,", ",K75,", ",K76,", ",K77,", ",K78)</f>
        <v>General Electric, Honeywell, Napco Security, Toro Company, Whirlpool</v>
      </c>
      <c r="M88" s="50" t="s">
        <v>327</v>
      </c>
      <c r="N88" s="53" t="s">
        <v>40</v>
      </c>
      <c r="O88" s="54" t="str">
        <f>CONCATENATE(N74,", ",N75,", ",N76,", ",N77)</f>
        <v>Arrow Electronics, Avnet, Bell Microproducts, Nu Horizons</v>
      </c>
      <c r="P88" s="29" t="s">
        <v>327</v>
      </c>
    </row>
    <row r="89" spans="2:16">
      <c r="B89" s="55" t="s">
        <v>43</v>
      </c>
      <c r="C89" s="56" t="s">
        <v>420</v>
      </c>
      <c r="D89" s="50"/>
      <c r="E89" s="55" t="s">
        <v>43</v>
      </c>
      <c r="F89" s="56" t="s">
        <v>420</v>
      </c>
      <c r="G89" s="50"/>
      <c r="H89" s="55" t="s">
        <v>48</v>
      </c>
      <c r="I89" s="56" t="s">
        <v>420</v>
      </c>
      <c r="J89" s="50"/>
      <c r="K89" s="55" t="s">
        <v>43</v>
      </c>
      <c r="L89" s="56" t="s">
        <v>420</v>
      </c>
      <c r="M89" s="50"/>
      <c r="N89" s="55" t="s">
        <v>43</v>
      </c>
      <c r="O89" s="56" t="s">
        <v>420</v>
      </c>
    </row>
    <row r="90" spans="2:16">
      <c r="B90" s="74" t="s">
        <v>427</v>
      </c>
      <c r="C90" s="75">
        <f t="shared" ref="C90:C102" si="25">IF(B90="","",VLOOKUP(B90,Markups,27,FALSE))</f>
        <v>1.2920643625591361</v>
      </c>
      <c r="D90" s="50"/>
      <c r="E90" s="74" t="s">
        <v>427</v>
      </c>
      <c r="F90" s="75">
        <f t="shared" ref="F90:F102" si="26">IF(E90="","",VLOOKUP(E90,Markups,27,FALSE))</f>
        <v>1.2920643625591361</v>
      </c>
      <c r="G90" s="50"/>
      <c r="H90" s="74" t="s">
        <v>484</v>
      </c>
      <c r="I90" s="75">
        <f t="shared" ref="I90:I102" si="27">IF(H90="","",VLOOKUP(H90,Markups,27,FALSE))</f>
        <v>1.4133082408872113</v>
      </c>
      <c r="J90" s="50"/>
      <c r="K90" s="74" t="s">
        <v>427</v>
      </c>
      <c r="L90" s="75">
        <f t="shared" ref="L90:L102" si="28">IF(K90="","",VLOOKUP(K90,Markups,27,FALSE))</f>
        <v>1.2920643625591361</v>
      </c>
      <c r="M90" s="50"/>
      <c r="N90" s="74" t="s">
        <v>49</v>
      </c>
      <c r="O90" s="75">
        <f>I111</f>
        <v>1.4656856906463094</v>
      </c>
    </row>
    <row r="91" spans="2:16">
      <c r="B91" s="76" t="s">
        <v>458</v>
      </c>
      <c r="C91" s="75">
        <f t="shared" si="25"/>
        <v>1.3197779396445328</v>
      </c>
      <c r="D91" s="50"/>
      <c r="E91" s="76" t="s">
        <v>260</v>
      </c>
      <c r="F91" s="75">
        <f t="shared" si="26"/>
        <v>1.7072855130635147</v>
      </c>
      <c r="G91" s="50"/>
      <c r="H91" s="76" t="s">
        <v>526</v>
      </c>
      <c r="I91" s="75">
        <f t="shared" si="27"/>
        <v>1.1091107594599396</v>
      </c>
      <c r="J91" s="50"/>
      <c r="K91" s="76" t="s">
        <v>462</v>
      </c>
      <c r="L91" s="75">
        <f t="shared" si="28"/>
        <v>1.7768558925041464</v>
      </c>
      <c r="M91" s="50"/>
      <c r="N91" s="76"/>
      <c r="O91" s="75"/>
    </row>
    <row r="92" spans="2:16">
      <c r="B92" s="76" t="s">
        <v>468</v>
      </c>
      <c r="C92" s="75">
        <f t="shared" si="25"/>
        <v>1.14267926763737</v>
      </c>
      <c r="D92" s="50"/>
      <c r="E92" s="76" t="s">
        <v>468</v>
      </c>
      <c r="F92" s="75">
        <f t="shared" si="26"/>
        <v>1.14267926763737</v>
      </c>
      <c r="G92" s="50"/>
      <c r="H92" s="76" t="s">
        <v>534</v>
      </c>
      <c r="I92" s="75">
        <f t="shared" si="27"/>
        <v>1.4131362273363741</v>
      </c>
      <c r="J92" s="50"/>
      <c r="K92" s="76" t="s">
        <v>0</v>
      </c>
      <c r="L92" s="75">
        <f t="shared" si="28"/>
        <v>1.5064433102138217</v>
      </c>
      <c r="M92" s="50"/>
      <c r="N92" s="76"/>
      <c r="O92" s="75"/>
    </row>
    <row r="93" spans="2:16">
      <c r="B93" s="76" t="s">
        <v>478</v>
      </c>
      <c r="C93" s="75">
        <f t="shared" si="25"/>
        <v>1.3578450242279203</v>
      </c>
      <c r="D93" s="50"/>
      <c r="E93" s="76" t="s">
        <v>472</v>
      </c>
      <c r="F93" s="75">
        <f t="shared" si="26"/>
        <v>1.2992978446723329</v>
      </c>
      <c r="G93" s="50"/>
      <c r="H93" s="76"/>
      <c r="I93" s="75" t="str">
        <f t="shared" si="27"/>
        <v/>
      </c>
      <c r="J93" s="50"/>
      <c r="K93" s="76" t="s">
        <v>501</v>
      </c>
      <c r="L93" s="75">
        <f t="shared" si="28"/>
        <v>1.525752749155733</v>
      </c>
      <c r="M93" s="50"/>
      <c r="N93" s="76"/>
      <c r="O93" s="75"/>
    </row>
    <row r="94" spans="2:16">
      <c r="B94" s="76" t="s">
        <v>536</v>
      </c>
      <c r="C94" s="75">
        <f t="shared" si="25"/>
        <v>1.8498434320288231</v>
      </c>
      <c r="D94" s="50"/>
      <c r="E94" s="76" t="s">
        <v>541</v>
      </c>
      <c r="F94" s="75">
        <f t="shared" si="26"/>
        <v>1.3698460116693676</v>
      </c>
      <c r="G94" s="50"/>
      <c r="H94" s="76"/>
      <c r="I94" s="75" t="str">
        <f t="shared" si="27"/>
        <v/>
      </c>
      <c r="J94" s="50"/>
      <c r="K94" s="76" t="s">
        <v>9</v>
      </c>
      <c r="L94" s="75">
        <f t="shared" si="28"/>
        <v>1.5328323839248206</v>
      </c>
      <c r="M94" s="50"/>
      <c r="N94" s="76"/>
      <c r="O94" s="75"/>
    </row>
    <row r="95" spans="2:16">
      <c r="B95" s="76" t="s">
        <v>550</v>
      </c>
      <c r="C95" s="75">
        <f t="shared" si="25"/>
        <v>1.3854571449532873</v>
      </c>
      <c r="D95" s="50"/>
      <c r="E95" s="76" t="s">
        <v>550</v>
      </c>
      <c r="F95" s="75">
        <f t="shared" si="26"/>
        <v>1.3854571449532873</v>
      </c>
      <c r="G95" s="50"/>
      <c r="H95" s="76"/>
      <c r="I95" s="75" t="str">
        <f t="shared" si="27"/>
        <v/>
      </c>
      <c r="J95" s="50"/>
      <c r="K95" s="76"/>
      <c r="L95" s="75" t="str">
        <f t="shared" si="28"/>
        <v/>
      </c>
      <c r="M95" s="50"/>
      <c r="N95" s="76"/>
      <c r="O95" s="75"/>
    </row>
    <row r="96" spans="2:16">
      <c r="B96" s="76" t="s">
        <v>559</v>
      </c>
      <c r="C96" s="75">
        <f t="shared" si="25"/>
        <v>1.4735653832896356</v>
      </c>
      <c r="D96" s="50"/>
      <c r="E96" s="76" t="s">
        <v>559</v>
      </c>
      <c r="F96" s="75">
        <f t="shared" si="26"/>
        <v>1.4735653832896356</v>
      </c>
      <c r="G96" s="50"/>
      <c r="H96" s="76"/>
      <c r="I96" s="75" t="str">
        <f t="shared" si="27"/>
        <v/>
      </c>
      <c r="J96" s="50"/>
      <c r="K96" s="76"/>
      <c r="L96" s="75" t="str">
        <f t="shared" si="28"/>
        <v/>
      </c>
      <c r="M96" s="50"/>
      <c r="N96" s="76"/>
      <c r="O96" s="75"/>
    </row>
    <row r="97" spans="2:16">
      <c r="B97" s="76" t="s">
        <v>7</v>
      </c>
      <c r="C97" s="75">
        <f t="shared" si="25"/>
        <v>1.5248720779814262</v>
      </c>
      <c r="D97" s="50"/>
      <c r="E97" s="76" t="s">
        <v>15</v>
      </c>
      <c r="F97" s="75">
        <f t="shared" si="26"/>
        <v>1.3895494888146305</v>
      </c>
      <c r="G97" s="50"/>
      <c r="H97" s="76"/>
      <c r="I97" s="75" t="str">
        <f t="shared" si="27"/>
        <v/>
      </c>
      <c r="J97" s="50"/>
      <c r="K97" s="76"/>
      <c r="L97" s="75" t="str">
        <f t="shared" si="28"/>
        <v/>
      </c>
      <c r="M97" s="50"/>
      <c r="N97" s="76"/>
      <c r="O97" s="75"/>
    </row>
    <row r="98" spans="2:16">
      <c r="B98" s="76" t="s">
        <v>17</v>
      </c>
      <c r="C98" s="75">
        <f t="shared" si="25"/>
        <v>1.3220783011842456</v>
      </c>
      <c r="D98" s="50"/>
      <c r="E98" s="76" t="s">
        <v>17</v>
      </c>
      <c r="F98" s="75">
        <f t="shared" si="26"/>
        <v>1.3220783011842456</v>
      </c>
      <c r="G98" s="50"/>
      <c r="H98" s="76"/>
      <c r="I98" s="75" t="str">
        <f t="shared" si="27"/>
        <v/>
      </c>
      <c r="J98" s="50"/>
      <c r="K98" s="76"/>
      <c r="L98" s="75" t="str">
        <f t="shared" si="28"/>
        <v/>
      </c>
      <c r="M98" s="50"/>
      <c r="N98" s="76"/>
      <c r="O98" s="75"/>
    </row>
    <row r="99" spans="2:16">
      <c r="B99" s="76"/>
      <c r="C99" s="75" t="str">
        <f t="shared" si="25"/>
        <v/>
      </c>
      <c r="D99" s="50"/>
      <c r="E99" s="76"/>
      <c r="F99" s="75" t="str">
        <f t="shared" si="26"/>
        <v/>
      </c>
      <c r="G99" s="50"/>
      <c r="H99" s="76"/>
      <c r="I99" s="75" t="str">
        <f t="shared" si="27"/>
        <v/>
      </c>
      <c r="J99" s="50"/>
      <c r="K99" s="76"/>
      <c r="L99" s="75" t="str">
        <f t="shared" si="28"/>
        <v/>
      </c>
      <c r="M99" s="50"/>
      <c r="N99" s="76"/>
      <c r="O99" s="75"/>
    </row>
    <row r="100" spans="2:16">
      <c r="B100" s="76"/>
      <c r="C100" s="75" t="str">
        <f t="shared" si="25"/>
        <v/>
      </c>
      <c r="D100" s="50"/>
      <c r="E100" s="76"/>
      <c r="F100" s="75" t="str">
        <f t="shared" si="26"/>
        <v/>
      </c>
      <c r="G100" s="50"/>
      <c r="H100" s="76"/>
      <c r="I100" s="75" t="str">
        <f t="shared" si="27"/>
        <v/>
      </c>
      <c r="J100" s="50"/>
      <c r="K100" s="76"/>
      <c r="L100" s="75" t="str">
        <f t="shared" si="28"/>
        <v/>
      </c>
      <c r="M100" s="50"/>
      <c r="N100" s="76"/>
      <c r="O100" s="75"/>
    </row>
    <row r="101" spans="2:16">
      <c r="B101" s="76"/>
      <c r="C101" s="75" t="str">
        <f t="shared" si="25"/>
        <v/>
      </c>
      <c r="D101" s="50"/>
      <c r="E101" s="76"/>
      <c r="F101" s="75" t="str">
        <f t="shared" si="26"/>
        <v/>
      </c>
      <c r="G101" s="50"/>
      <c r="H101" s="76"/>
      <c r="I101" s="75" t="str">
        <f t="shared" si="27"/>
        <v/>
      </c>
      <c r="J101" s="50"/>
      <c r="K101" s="76"/>
      <c r="L101" s="75" t="str">
        <f t="shared" si="28"/>
        <v/>
      </c>
      <c r="M101" s="50"/>
      <c r="N101" s="76"/>
      <c r="O101" s="75"/>
    </row>
    <row r="102" spans="2:16" ht="13.5" thickBot="1">
      <c r="B102" s="77"/>
      <c r="C102" s="75" t="str">
        <f t="shared" si="25"/>
        <v/>
      </c>
      <c r="D102" s="50"/>
      <c r="E102" s="77"/>
      <c r="F102" s="75" t="str">
        <f t="shared" si="26"/>
        <v/>
      </c>
      <c r="G102" s="50"/>
      <c r="H102" s="77"/>
      <c r="I102" s="75" t="str">
        <f t="shared" si="27"/>
        <v/>
      </c>
      <c r="J102" s="50"/>
      <c r="K102" s="77"/>
      <c r="L102" s="75" t="str">
        <f t="shared" si="28"/>
        <v/>
      </c>
      <c r="M102" s="50"/>
      <c r="N102" s="77"/>
      <c r="O102" s="78"/>
    </row>
    <row r="103" spans="2:16">
      <c r="B103" s="51" t="s">
        <v>42</v>
      </c>
      <c r="C103" s="52">
        <f>AVERAGE(C90:C102)</f>
        <v>1.4075758815007084</v>
      </c>
      <c r="D103" s="50"/>
      <c r="E103" s="51" t="s">
        <v>42</v>
      </c>
      <c r="F103" s="52">
        <f>AVERAGE(F90:F102)</f>
        <v>1.3757581464270576</v>
      </c>
      <c r="G103" s="50"/>
      <c r="H103" s="51" t="s">
        <v>42</v>
      </c>
      <c r="I103" s="52">
        <f>AVERAGE(I90:I102)</f>
        <v>1.3118517425611751</v>
      </c>
      <c r="J103" s="50"/>
      <c r="K103" s="51" t="s">
        <v>42</v>
      </c>
      <c r="L103" s="52">
        <f>AVERAGE(L90:L102)</f>
        <v>1.5267897396715315</v>
      </c>
      <c r="M103" s="50"/>
      <c r="N103" s="51" t="s">
        <v>42</v>
      </c>
      <c r="O103" s="52">
        <f>AVERAGE(O90:O102)</f>
        <v>1.4656856906463094</v>
      </c>
    </row>
    <row r="104" spans="2:16" ht="13.5" thickBot="1">
      <c r="B104" s="53" t="s">
        <v>40</v>
      </c>
      <c r="C104" s="54" t="str">
        <f>CONCATENATE(B90,", ",B91,", ",B92,", ",B93,", ",B94,", ",B95,", ",B96,", ",B97,", ",B98)</f>
        <v>Amazon.com, Best Buy, Costco Wholesale, GameStop, Radioshack, Sears, Target, Toys "R" Us, Walmart</v>
      </c>
      <c r="D104" s="50" t="s">
        <v>327</v>
      </c>
      <c r="E104" s="53" t="s">
        <v>40</v>
      </c>
      <c r="F104" s="54" t="str">
        <f>CONCATENATE(E90,", ",E91,", ",E92,", ",E93,", ",E94,", ",E95,", ",E96,", ",E97,", ",E98)</f>
        <v>Amazon.com, Bed Bath &amp; Beyond, Costco Wholesale, CVS, RiteAid, Sears, Target, Walgreens, Walmart</v>
      </c>
      <c r="G104" s="50" t="s">
        <v>327</v>
      </c>
      <c r="H104" s="53" t="s">
        <v>40</v>
      </c>
      <c r="I104" s="54" t="str">
        <f>CONCATENATE(H90,", ",H91,", ",H92)</f>
        <v>Henry Schein, Owens &amp; Minor, PSS World Medical</v>
      </c>
      <c r="J104" s="50" t="s">
        <v>327</v>
      </c>
      <c r="K104" s="53" t="s">
        <v>40</v>
      </c>
      <c r="L104" s="54" t="str">
        <f>CONCATENATE(K90,", ",K91,", ",K92,", ",K93,", ",K94)</f>
        <v>Amazon.com, Broadview Security, The Home Depot, Lowe's, Tyco International (ADT)</v>
      </c>
      <c r="M104" s="50" t="s">
        <v>327</v>
      </c>
      <c r="N104" s="53" t="s">
        <v>40</v>
      </c>
      <c r="O104" s="54" t="str">
        <f>CONCATENATE(N90)</f>
        <v>Average Retailer MU*</v>
      </c>
      <c r="P104" s="29" t="s">
        <v>327</v>
      </c>
    </row>
    <row r="105" spans="2:16" ht="13.5" thickBot="1">
      <c r="B105" s="57" t="s">
        <v>39</v>
      </c>
      <c r="C105" s="58">
        <f>(C87*C103)</f>
        <v>2.2730303617553296</v>
      </c>
      <c r="D105" s="50"/>
      <c r="E105" s="57" t="s">
        <v>39</v>
      </c>
      <c r="F105" s="58">
        <f>(F87*F103)</f>
        <v>1.9986022566199177</v>
      </c>
      <c r="G105" s="50"/>
      <c r="H105" s="57" t="s">
        <v>39</v>
      </c>
      <c r="I105" s="58">
        <f>(I87*I103)</f>
        <v>2.5339182573320693</v>
      </c>
      <c r="J105" s="50"/>
      <c r="K105" s="57" t="s">
        <v>39</v>
      </c>
      <c r="L105" s="58">
        <f>(L87*L103)</f>
        <v>2.0986375819090441</v>
      </c>
      <c r="M105" s="50"/>
      <c r="N105" s="57" t="s">
        <v>39</v>
      </c>
      <c r="O105" s="58">
        <f>(O87*O103)</f>
        <v>1.6860553039830892</v>
      </c>
    </row>
    <row r="106" spans="2:16" ht="13.5" thickBot="1">
      <c r="B106" s="50"/>
      <c r="C106" s="50"/>
      <c r="D106" s="50"/>
      <c r="E106" s="50"/>
      <c r="F106" s="50"/>
      <c r="G106" s="50"/>
      <c r="H106" s="50"/>
      <c r="I106" s="50"/>
      <c r="J106" s="50"/>
      <c r="K106" s="50"/>
      <c r="L106" s="50"/>
      <c r="M106" s="50"/>
      <c r="N106" s="73" t="s">
        <v>546</v>
      </c>
      <c r="O106" s="50"/>
    </row>
    <row r="107" spans="2:16" ht="15">
      <c r="B107" s="1201" t="s">
        <v>50</v>
      </c>
      <c r="C107" s="1202"/>
      <c r="D107" s="50"/>
      <c r="E107" s="1201" t="s">
        <v>51</v>
      </c>
      <c r="F107" s="1202"/>
      <c r="G107" s="50"/>
      <c r="H107" s="1201" t="s">
        <v>52</v>
      </c>
      <c r="I107" s="1202"/>
      <c r="J107" s="50"/>
      <c r="M107" s="50"/>
      <c r="O107" s="50"/>
    </row>
    <row r="108" spans="2:16">
      <c r="B108" s="59" t="s">
        <v>35</v>
      </c>
      <c r="C108" s="60" t="s">
        <v>420</v>
      </c>
      <c r="D108" s="50"/>
      <c r="E108" s="59" t="s">
        <v>48</v>
      </c>
      <c r="F108" s="60" t="s">
        <v>420</v>
      </c>
      <c r="G108" s="50"/>
      <c r="H108" s="59" t="s">
        <v>35</v>
      </c>
      <c r="I108" s="60" t="s">
        <v>420</v>
      </c>
      <c r="J108" s="50"/>
      <c r="M108" s="50"/>
      <c r="N108" s="50"/>
      <c r="O108" s="50"/>
    </row>
    <row r="109" spans="2:16" ht="13.5" thickBot="1">
      <c r="B109" s="74" t="s">
        <v>482</v>
      </c>
      <c r="C109" s="75">
        <f t="shared" ref="C109:C121" si="29">IF(B109="","",VLOOKUP(B109,Markups,27,FALSE))</f>
        <v>1.3807501266409743</v>
      </c>
      <c r="D109" s="50"/>
      <c r="E109" s="74" t="s">
        <v>24</v>
      </c>
      <c r="F109" s="75">
        <f t="shared" ref="F109:F121" si="30">IF(E109="","",(VLOOKUP(E109,BCEPSDistributors,27,FALSE)))</f>
        <v>1.1668066282489269</v>
      </c>
      <c r="G109" s="50"/>
      <c r="H109" s="61" t="s">
        <v>53</v>
      </c>
      <c r="I109" s="49">
        <f>SUMIF('6. Markup Source Info'!AF2:AF78,"yes",'6. Markup Source Info'!AA2:AA78)/COUNTIF('6. Markup Source Info'!AF2:AF78,"yes")</f>
        <v>1.4837694718948224</v>
      </c>
      <c r="J109" s="50"/>
      <c r="M109" s="50"/>
      <c r="N109" s="50"/>
      <c r="O109" s="50"/>
    </row>
    <row r="110" spans="2:16">
      <c r="B110" s="76" t="s">
        <v>521</v>
      </c>
      <c r="C110" s="75">
        <f t="shared" si="29"/>
        <v>1.1502433086685284</v>
      </c>
      <c r="D110" s="50"/>
      <c r="E110" s="76" t="s">
        <v>25</v>
      </c>
      <c r="F110" s="75">
        <f t="shared" si="30"/>
        <v>1.1468719790826614</v>
      </c>
      <c r="G110" s="50"/>
      <c r="H110" s="55" t="s">
        <v>43</v>
      </c>
      <c r="I110" s="56" t="s">
        <v>420</v>
      </c>
      <c r="J110" s="50"/>
      <c r="M110" s="50"/>
      <c r="N110" s="50"/>
      <c r="O110" s="50"/>
    </row>
    <row r="111" spans="2:16" ht="13.5" thickBot="1">
      <c r="B111" s="76" t="s">
        <v>548</v>
      </c>
      <c r="C111" s="75">
        <f t="shared" si="29"/>
        <v>1.6879118450138861</v>
      </c>
      <c r="D111" s="50"/>
      <c r="E111" s="76" t="s">
        <v>27</v>
      </c>
      <c r="F111" s="75">
        <f t="shared" si="30"/>
        <v>1.0954775871433597</v>
      </c>
      <c r="G111" s="50"/>
      <c r="H111" s="61" t="s">
        <v>54</v>
      </c>
      <c r="I111" s="49">
        <f>SUMIF('6. Markup Source Info'!AG6:AG64,"yes",'6. Markup Source Info'!AA6:AA64)/COUNTIF('6. Markup Source Info'!AG6:AG64,"yes")</f>
        <v>1.4656856906463094</v>
      </c>
      <c r="J111" s="50"/>
      <c r="M111" s="50"/>
      <c r="N111" s="50"/>
      <c r="O111" s="50"/>
    </row>
    <row r="112" spans="2:16" ht="13.5" thickBot="1">
      <c r="B112" s="76" t="s">
        <v>557</v>
      </c>
      <c r="C112" s="75">
        <f t="shared" si="29"/>
        <v>1.1776935953209819</v>
      </c>
      <c r="D112" s="50"/>
      <c r="E112" s="76" t="s">
        <v>28</v>
      </c>
      <c r="F112" s="75">
        <f t="shared" si="30"/>
        <v>1.1922540935373629</v>
      </c>
      <c r="G112" s="50"/>
      <c r="H112" s="57" t="s">
        <v>39</v>
      </c>
      <c r="I112" s="58">
        <f>PRODUCT(I111,I109)</f>
        <v>2.1747396831740726</v>
      </c>
      <c r="J112" s="50"/>
      <c r="M112" s="50"/>
      <c r="N112" s="50"/>
      <c r="O112" s="50"/>
    </row>
    <row r="113" spans="2:8">
      <c r="B113" s="76"/>
      <c r="C113" s="75" t="str">
        <f t="shared" si="29"/>
        <v/>
      </c>
      <c r="E113" s="76"/>
      <c r="F113" s="75" t="str">
        <f t="shared" si="30"/>
        <v/>
      </c>
      <c r="H113" s="73" t="s">
        <v>406</v>
      </c>
    </row>
    <row r="114" spans="2:8">
      <c r="B114" s="76"/>
      <c r="C114" s="75" t="str">
        <f t="shared" si="29"/>
        <v/>
      </c>
      <c r="E114" s="76"/>
      <c r="F114" s="75" t="str">
        <f t="shared" si="30"/>
        <v/>
      </c>
    </row>
    <row r="115" spans="2:8">
      <c r="B115" s="76"/>
      <c r="C115" s="75" t="str">
        <f t="shared" si="29"/>
        <v/>
      </c>
      <c r="E115" s="76"/>
      <c r="F115" s="75" t="str">
        <f t="shared" si="30"/>
        <v/>
      </c>
    </row>
    <row r="116" spans="2:8">
      <c r="B116" s="76"/>
      <c r="C116" s="75" t="str">
        <f t="shared" si="29"/>
        <v/>
      </c>
      <c r="E116" s="76"/>
      <c r="F116" s="75" t="str">
        <f t="shared" si="30"/>
        <v/>
      </c>
    </row>
    <row r="117" spans="2:8">
      <c r="B117" s="76"/>
      <c r="C117" s="75" t="str">
        <f t="shared" si="29"/>
        <v/>
      </c>
      <c r="E117" s="76"/>
      <c r="F117" s="75" t="str">
        <f t="shared" si="30"/>
        <v/>
      </c>
    </row>
    <row r="118" spans="2:8">
      <c r="B118" s="76"/>
      <c r="C118" s="75" t="str">
        <f t="shared" si="29"/>
        <v/>
      </c>
      <c r="E118" s="76"/>
      <c r="F118" s="75" t="str">
        <f t="shared" si="30"/>
        <v/>
      </c>
    </row>
    <row r="119" spans="2:8">
      <c r="B119" s="76"/>
      <c r="C119" s="75" t="str">
        <f t="shared" si="29"/>
        <v/>
      </c>
      <c r="E119" s="76"/>
      <c r="F119" s="75" t="str">
        <f t="shared" si="30"/>
        <v/>
      </c>
    </row>
    <row r="120" spans="2:8">
      <c r="B120" s="76"/>
      <c r="C120" s="75" t="str">
        <f t="shared" si="29"/>
        <v/>
      </c>
      <c r="E120" s="76"/>
      <c r="F120" s="75" t="str">
        <f t="shared" si="30"/>
        <v/>
      </c>
    </row>
    <row r="121" spans="2:8" ht="13.5" thickBot="1">
      <c r="B121" s="77"/>
      <c r="C121" s="75" t="str">
        <f t="shared" si="29"/>
        <v/>
      </c>
      <c r="E121" s="77"/>
      <c r="F121" s="75" t="str">
        <f t="shared" si="30"/>
        <v/>
      </c>
    </row>
    <row r="122" spans="2:8" ht="13.5" thickBot="1">
      <c r="B122" s="51" t="s">
        <v>42</v>
      </c>
      <c r="C122" s="52">
        <f>AVERAGE(C109:C121)</f>
        <v>1.3491497189110926</v>
      </c>
      <c r="E122" s="62" t="s">
        <v>40</v>
      </c>
      <c r="F122" s="63" t="str">
        <f>CONCATENATE(E109,", ",E110,", ",E111,", ",E112)</f>
        <v>Arrow Electronics, Avnet, Bell Microproducts, Nu Horizons</v>
      </c>
      <c r="G122" s="29" t="s">
        <v>327</v>
      </c>
    </row>
    <row r="123" spans="2:8" ht="13.5" thickBot="1">
      <c r="B123" s="53" t="s">
        <v>40</v>
      </c>
      <c r="C123" s="54" t="str">
        <f>CONCATENATE(B109,", ",B110,", ",B111,", ",B112)</f>
        <v>General Electric, OCZ Technology, Schneider Electric (APC), Systemax (Ultra)</v>
      </c>
      <c r="D123" s="29" t="s">
        <v>327</v>
      </c>
      <c r="E123" s="57" t="s">
        <v>39</v>
      </c>
      <c r="F123" s="58">
        <f>AVERAGE(F109:F121)</f>
        <v>1.1503525720030776</v>
      </c>
      <c r="G123" s="29" t="s">
        <v>327</v>
      </c>
    </row>
    <row r="124" spans="2:8">
      <c r="B124" s="55" t="s">
        <v>43</v>
      </c>
      <c r="C124" s="56" t="s">
        <v>420</v>
      </c>
    </row>
    <row r="125" spans="2:8">
      <c r="B125" s="74" t="s">
        <v>427</v>
      </c>
      <c r="C125" s="75">
        <f t="shared" ref="C125:C137" si="31">IF(B125="","",VLOOKUP(B125,Markups,27,FALSE))</f>
        <v>1.2920643625591361</v>
      </c>
    </row>
    <row r="126" spans="2:8">
      <c r="B126" s="76" t="s">
        <v>458</v>
      </c>
      <c r="C126" s="75">
        <f t="shared" si="31"/>
        <v>1.3197779396445328</v>
      </c>
    </row>
    <row r="127" spans="2:8">
      <c r="B127" s="76" t="s">
        <v>536</v>
      </c>
      <c r="C127" s="75">
        <f t="shared" si="31"/>
        <v>1.8498434320288231</v>
      </c>
    </row>
    <row r="128" spans="2:8">
      <c r="B128" s="76"/>
      <c r="C128" s="75" t="str">
        <f t="shared" si="31"/>
        <v/>
      </c>
    </row>
    <row r="129" spans="2:4">
      <c r="B129" s="76"/>
      <c r="C129" s="75" t="str">
        <f t="shared" si="31"/>
        <v/>
      </c>
    </row>
    <row r="130" spans="2:4">
      <c r="B130" s="76"/>
      <c r="C130" s="75" t="str">
        <f t="shared" si="31"/>
        <v/>
      </c>
    </row>
    <row r="131" spans="2:4">
      <c r="B131" s="76"/>
      <c r="C131" s="75" t="str">
        <f t="shared" si="31"/>
        <v/>
      </c>
    </row>
    <row r="132" spans="2:4">
      <c r="B132" s="76"/>
      <c r="C132" s="75" t="str">
        <f t="shared" si="31"/>
        <v/>
      </c>
    </row>
    <row r="133" spans="2:4">
      <c r="B133" s="76"/>
      <c r="C133" s="75" t="str">
        <f t="shared" si="31"/>
        <v/>
      </c>
    </row>
    <row r="134" spans="2:4">
      <c r="B134" s="76"/>
      <c r="C134" s="75" t="str">
        <f t="shared" si="31"/>
        <v/>
      </c>
    </row>
    <row r="135" spans="2:4">
      <c r="B135" s="76"/>
      <c r="C135" s="75" t="str">
        <f t="shared" si="31"/>
        <v/>
      </c>
    </row>
    <row r="136" spans="2:4">
      <c r="B136" s="76"/>
      <c r="C136" s="75" t="str">
        <f t="shared" si="31"/>
        <v/>
      </c>
    </row>
    <row r="137" spans="2:4" ht="13.5" thickBot="1">
      <c r="B137" s="77"/>
      <c r="C137" s="75" t="str">
        <f t="shared" si="31"/>
        <v/>
      </c>
    </row>
    <row r="138" spans="2:4">
      <c r="B138" s="51" t="s">
        <v>42</v>
      </c>
      <c r="C138" s="52">
        <f>AVERAGE(C125:C137)</f>
        <v>1.4872285780774972</v>
      </c>
    </row>
    <row r="139" spans="2:4" ht="13.5" thickBot="1">
      <c r="B139" s="64" t="s">
        <v>40</v>
      </c>
      <c r="C139" s="54" t="str">
        <f>CONCATENATE(B125,", ",B126,", ",B127)</f>
        <v>Amazon.com, Best Buy, Radioshack</v>
      </c>
      <c r="D139" s="29" t="s">
        <v>327</v>
      </c>
    </row>
    <row r="140" spans="2:4" ht="13.5" thickBot="1">
      <c r="B140" s="57" t="s">
        <v>39</v>
      </c>
      <c r="C140" s="58">
        <f>(C122*C138)</f>
        <v>2.0064940180697994</v>
      </c>
    </row>
  </sheetData>
  <mergeCells count="19">
    <mergeCell ref="H72:I72"/>
    <mergeCell ref="K72:L72"/>
    <mergeCell ref="E2:F2"/>
    <mergeCell ref="H2:I2"/>
    <mergeCell ref="R2:V2"/>
    <mergeCell ref="N72:O72"/>
    <mergeCell ref="B107:C107"/>
    <mergeCell ref="N2:O2"/>
    <mergeCell ref="B37:C37"/>
    <mergeCell ref="E37:F37"/>
    <mergeCell ref="H37:I37"/>
    <mergeCell ref="K37:L37"/>
    <mergeCell ref="N37:O37"/>
    <mergeCell ref="B2:C2"/>
    <mergeCell ref="H107:I107"/>
    <mergeCell ref="E107:F107"/>
    <mergeCell ref="K2:L2"/>
    <mergeCell ref="B72:C72"/>
    <mergeCell ref="E72:F72"/>
  </mergeCells>
  <phoneticPr fontId="13" type="noConversion"/>
  <pageMargins left="0.75" right="0.75" top="1" bottom="1.62" header="0.5" footer="0.5"/>
  <pageSetup paperSize="5" scale="40" orientation="portrait" r:id="rId1"/>
  <headerFooter alignWithMargins="0"/>
</worksheet>
</file>

<file path=xl/worksheets/sheet8.xml><?xml version="1.0" encoding="utf-8"?>
<worksheet xmlns="http://schemas.openxmlformats.org/spreadsheetml/2006/main" xmlns:r="http://schemas.openxmlformats.org/officeDocument/2006/relationships">
  <dimension ref="B1:V140"/>
  <sheetViews>
    <sheetView topLeftCell="T1" zoomScale="70" zoomScaleNormal="70" workbookViewId="0">
      <selection activeCell="V59" sqref="V59"/>
    </sheetView>
  </sheetViews>
  <sheetFormatPr defaultRowHeight="12.75"/>
  <cols>
    <col min="1" max="1" width="9.140625" style="29"/>
    <col min="2" max="2" width="20.7109375" style="29" bestFit="1" customWidth="1"/>
    <col min="3" max="3" width="12.85546875" style="29" customWidth="1"/>
    <col min="4" max="4" width="9.140625" style="29"/>
    <col min="5" max="5" width="17.7109375" style="29" bestFit="1" customWidth="1"/>
    <col min="6" max="6" width="14.28515625" style="29" customWidth="1"/>
    <col min="7" max="7" width="9.140625" style="29"/>
    <col min="8" max="8" width="22" style="29" bestFit="1" customWidth="1"/>
    <col min="9" max="9" width="10" style="29" customWidth="1"/>
    <col min="10" max="10" width="9.140625" style="29"/>
    <col min="11" max="11" width="21.140625" style="29" bestFit="1" customWidth="1"/>
    <col min="12" max="12" width="9.5703125" style="29" bestFit="1" customWidth="1"/>
    <col min="13" max="13" width="9.140625" style="29"/>
    <col min="14" max="14" width="20.7109375" style="29" bestFit="1" customWidth="1"/>
    <col min="15" max="15" width="9.7109375" style="29" customWidth="1"/>
    <col min="16" max="17" width="9.140625" style="29"/>
    <col min="18" max="18" width="30.28515625" style="29" bestFit="1" customWidth="1"/>
    <col min="19" max="19" width="24.5703125" style="29" customWidth="1"/>
    <col min="20" max="20" width="18.7109375" style="29" bestFit="1" customWidth="1"/>
    <col min="21" max="21" width="22" style="29" bestFit="1" customWidth="1"/>
    <col min="22" max="22" width="206.5703125" style="29" bestFit="1" customWidth="1"/>
    <col min="23" max="16384" width="9.140625" style="29"/>
  </cols>
  <sheetData>
    <row r="1" spans="2:22" ht="13.5" thickBot="1"/>
    <row r="2" spans="2:22" ht="15.75" thickBot="1">
      <c r="B2" s="1196" t="s">
        <v>150</v>
      </c>
      <c r="C2" s="1197"/>
      <c r="E2" s="1196" t="s">
        <v>30</v>
      </c>
      <c r="F2" s="1197"/>
      <c r="H2" s="1196" t="s">
        <v>31</v>
      </c>
      <c r="I2" s="1197"/>
      <c r="K2" s="1196" t="s">
        <v>32</v>
      </c>
      <c r="L2" s="1197"/>
      <c r="N2" s="1196" t="s">
        <v>33</v>
      </c>
      <c r="O2" s="1197"/>
      <c r="R2" s="1198" t="s">
        <v>34</v>
      </c>
      <c r="S2" s="1199"/>
      <c r="T2" s="1199"/>
      <c r="U2" s="1199"/>
      <c r="V2" s="1200"/>
    </row>
    <row r="3" spans="2:22">
      <c r="B3" s="44" t="s">
        <v>35</v>
      </c>
      <c r="C3" s="45" t="s">
        <v>420</v>
      </c>
      <c r="E3" s="44" t="s">
        <v>35</v>
      </c>
      <c r="F3" s="45" t="s">
        <v>420</v>
      </c>
      <c r="H3" s="44" t="s">
        <v>35</v>
      </c>
      <c r="I3" s="45" t="s">
        <v>420</v>
      </c>
      <c r="K3" s="44" t="s">
        <v>35</v>
      </c>
      <c r="L3" s="45" t="s">
        <v>420</v>
      </c>
      <c r="N3" s="44" t="s">
        <v>35</v>
      </c>
      <c r="O3" s="45" t="s">
        <v>420</v>
      </c>
      <c r="R3" s="46" t="s">
        <v>36</v>
      </c>
      <c r="S3" s="47" t="s">
        <v>37</v>
      </c>
      <c r="T3" s="47" t="s">
        <v>38</v>
      </c>
      <c r="U3" s="47" t="s">
        <v>39</v>
      </c>
      <c r="V3" s="48" t="s">
        <v>40</v>
      </c>
    </row>
    <row r="4" spans="2:22">
      <c r="B4" s="74" t="s">
        <v>428</v>
      </c>
      <c r="C4" s="75">
        <f t="shared" ref="C4:C16" si="0">IF(B4="","",VLOOKUP(B4,Markups_Inc,28,FALSE))</f>
        <v>1.3526202618556071</v>
      </c>
      <c r="D4" s="50"/>
      <c r="E4" s="74" t="s">
        <v>428</v>
      </c>
      <c r="F4" s="75">
        <f t="shared" ref="F4:F16" si="1">IF(E4="","",VLOOKUP(E4,Markups_Inc,28,FALSE))</f>
        <v>1.3526202618556071</v>
      </c>
      <c r="G4" s="50"/>
      <c r="H4" s="74" t="s">
        <v>507</v>
      </c>
      <c r="I4" s="75">
        <f t="shared" ref="I4:I16" si="2">IF(H4="","",VLOOKUP(H4,Markups_Inc,28,FALSE))</f>
        <v>1.2140410496330272</v>
      </c>
      <c r="J4" s="50"/>
      <c r="K4" s="74" t="s">
        <v>424</v>
      </c>
      <c r="L4" s="75">
        <f t="shared" ref="L4:L16" si="3">IF(K4="","",VLOOKUP(K4,Markups_Inc,28,FALSE))</f>
        <v>1.0266708531202369</v>
      </c>
      <c r="M4" s="50"/>
      <c r="N4" s="74" t="s">
        <v>464</v>
      </c>
      <c r="O4" s="75">
        <f t="shared" ref="O4:O16" si="4">IF(N4="","",VLOOKUP(N4,Markups_Inc,28,FALSE))</f>
        <v>1.1174748743138134</v>
      </c>
      <c r="R4" s="138" t="str">
        <f>B2</f>
        <v>Portable Audio &amp; Accessories</v>
      </c>
      <c r="S4" s="139">
        <f>C17</f>
        <v>1.1522589646869794</v>
      </c>
      <c r="T4" s="139">
        <f>C33</f>
        <v>1.1594790229010035</v>
      </c>
      <c r="U4" s="139">
        <f>C35</f>
        <v>1.3360200985041808</v>
      </c>
      <c r="V4" s="140" t="str">
        <f>CONCATENATE(C18,", ",C34)</f>
        <v>Apple, JVC Kenwood Holdings, Logitech, Sandisk, Sony, Apple, Best Buy, Radioshack, Staples, Target, Walmart</v>
      </c>
    </row>
    <row r="5" spans="2:22">
      <c r="B5" s="76" t="s">
        <v>492</v>
      </c>
      <c r="C5" s="75">
        <f t="shared" si="0"/>
        <v>1.0004999143665205</v>
      </c>
      <c r="D5" s="50"/>
      <c r="E5" s="76" t="s">
        <v>507</v>
      </c>
      <c r="F5" s="75">
        <f t="shared" si="1"/>
        <v>1.2140410496330272</v>
      </c>
      <c r="G5" s="50"/>
      <c r="H5" s="76" t="s">
        <v>530</v>
      </c>
      <c r="I5" s="75">
        <f t="shared" si="2"/>
        <v>1.0553943629205056</v>
      </c>
      <c r="J5" s="50"/>
      <c r="K5" s="76" t="s">
        <v>428</v>
      </c>
      <c r="L5" s="75">
        <f t="shared" si="3"/>
        <v>1.3526202618556071</v>
      </c>
      <c r="M5" s="50"/>
      <c r="N5" s="76" t="s">
        <v>466</v>
      </c>
      <c r="O5" s="75">
        <f t="shared" si="4"/>
        <v>1.4637883373672498</v>
      </c>
      <c r="R5" s="138" t="str">
        <f>E2</f>
        <v>Mobile Telephony</v>
      </c>
      <c r="S5" s="139">
        <f>F17</f>
        <v>1.2870448175156712</v>
      </c>
      <c r="T5" s="139">
        <f>F33</f>
        <v>1.1335360162309198</v>
      </c>
      <c r="U5" s="139">
        <f>F35</f>
        <v>1.4589116551573651</v>
      </c>
      <c r="V5" s="140" t="str">
        <f>CONCATENATE(F18,", ",F34)</f>
        <v>Apple, Motorola, Nokia, Research In Motion, Samsung, Amazon.com, Target, Costco Wholesale, Radioshack, Sears, Walmart</v>
      </c>
    </row>
    <row r="6" spans="2:22">
      <c r="B6" s="76" t="s">
        <v>500</v>
      </c>
      <c r="C6" s="75">
        <f t="shared" si="0"/>
        <v>1.2302754074716307</v>
      </c>
      <c r="D6" s="50"/>
      <c r="E6" s="76" t="s">
        <v>519</v>
      </c>
      <c r="F6" s="75">
        <f t="shared" si="1"/>
        <v>1.3457857196824417</v>
      </c>
      <c r="G6" s="50"/>
      <c r="H6" s="76" t="s">
        <v>533</v>
      </c>
      <c r="I6" s="75">
        <f t="shared" si="2"/>
        <v>1.1498753369497337</v>
      </c>
      <c r="J6" s="50"/>
      <c r="K6" s="76" t="s">
        <v>474</v>
      </c>
      <c r="L6" s="75">
        <f t="shared" si="3"/>
        <v>1.0783066611541814</v>
      </c>
      <c r="M6" s="50"/>
      <c r="N6" s="76" t="s">
        <v>474</v>
      </c>
      <c r="O6" s="75">
        <f t="shared" si="4"/>
        <v>1.0783066611541814</v>
      </c>
      <c r="R6" s="138" t="str">
        <f>H2</f>
        <v>Stationary Telephony</v>
      </c>
      <c r="S6" s="139">
        <f>I17</f>
        <v>1.1696470333371778</v>
      </c>
      <c r="T6" s="139">
        <f>I33</f>
        <v>1.1293906252343995</v>
      </c>
      <c r="U6" s="139">
        <f>I35</f>
        <v>1.3209883942842358</v>
      </c>
      <c r="V6" s="140" t="str">
        <f>CONCATENATE(I18,", ",I34)</f>
        <v>Motorola, Panasonic, Philips, Vtech, Amazon.com, Best Buy, Costco Wholesale, Radioshack, Staples, Target, Walmart</v>
      </c>
    </row>
    <row r="7" spans="2:22">
      <c r="B7" s="76" t="s">
        <v>544</v>
      </c>
      <c r="C7" s="75">
        <f t="shared" si="0"/>
        <v>1.1870630589524072</v>
      </c>
      <c r="D7" s="50"/>
      <c r="E7" s="76" t="s">
        <v>538</v>
      </c>
      <c r="F7" s="75">
        <f t="shared" si="1"/>
        <v>1.7220883033355261</v>
      </c>
      <c r="G7" s="50"/>
      <c r="H7" s="76" t="s">
        <v>41</v>
      </c>
      <c r="I7" s="75">
        <f t="shared" si="2"/>
        <v>1.2592773838454452</v>
      </c>
      <c r="J7" s="50"/>
      <c r="K7" s="76" t="s">
        <v>486</v>
      </c>
      <c r="L7" s="75">
        <f t="shared" si="3"/>
        <v>1.1758528742352021</v>
      </c>
      <c r="M7" s="50"/>
      <c r="N7" s="76" t="s">
        <v>476</v>
      </c>
      <c r="O7" s="75">
        <f t="shared" si="4"/>
        <v>1.0284427874726498</v>
      </c>
      <c r="R7" s="138" t="str">
        <f>K2</f>
        <v>Computers/Accessories</v>
      </c>
      <c r="S7" s="139">
        <f>L17</f>
        <v>1.1490379865151081</v>
      </c>
      <c r="T7" s="139">
        <f>L33</f>
        <v>1.1369819887665853</v>
      </c>
      <c r="U7" s="139">
        <f>L35</f>
        <v>1.3064354950763004</v>
      </c>
      <c r="V7" s="140" t="str">
        <f>CONCATENATE(L18,", ",L34)</f>
        <v>Acer (Gateway), Apple, Dell, Hewlett Packard, LG, Logitech, Netgear, Nokia, Samsung, Sony, Toshiba, Western Digital, Amazon.com, Apple, Best Buy, Costco Wholesale, Dell, Office Depot, Radioshack, Sears, Staples, Target, Walmart</v>
      </c>
    </row>
    <row r="8" spans="2:22">
      <c r="B8" s="76" t="s">
        <v>552</v>
      </c>
      <c r="C8" s="75">
        <f t="shared" si="0"/>
        <v>0.99083618078873104</v>
      </c>
      <c r="D8" s="50"/>
      <c r="E8" s="76" t="s">
        <v>543</v>
      </c>
      <c r="F8" s="75">
        <f t="shared" si="1"/>
        <v>1.0968973897986953</v>
      </c>
      <c r="G8" s="50"/>
      <c r="H8" s="76"/>
      <c r="I8" s="75" t="str">
        <f t="shared" si="2"/>
        <v/>
      </c>
      <c r="J8" s="50"/>
      <c r="K8" s="76" t="s">
        <v>498</v>
      </c>
      <c r="L8" s="75">
        <f t="shared" si="3"/>
        <v>1.0766040514618744</v>
      </c>
      <c r="M8" s="50"/>
      <c r="N8" s="76" t="s">
        <v>486</v>
      </c>
      <c r="O8" s="75">
        <f t="shared" si="4"/>
        <v>1.1758528742352021</v>
      </c>
      <c r="R8" s="138" t="str">
        <f>N2</f>
        <v>Printers/MFDs</v>
      </c>
      <c r="S8" s="139">
        <f>O17</f>
        <v>1.15477523921464</v>
      </c>
      <c r="T8" s="139">
        <f>O33</f>
        <v>1.1333917050892122</v>
      </c>
      <c r="U8" s="139">
        <f>O35</f>
        <v>1.3088126773682838</v>
      </c>
      <c r="V8" s="140" t="str">
        <f>CONCATENATE(O18,", ",O34)</f>
        <v>Brother, Canon, Dell, Epson, Hewlett Packard, Kodak, Lexmark, Panasonic, Amazon.com, Apple, Best Buy, Costco Wholesale, Dell, Office depot, Sears, Staples, Target, Walmart</v>
      </c>
    </row>
    <row r="9" spans="2:22">
      <c r="B9" s="76"/>
      <c r="C9" s="75" t="str">
        <f t="shared" si="0"/>
        <v/>
      </c>
      <c r="D9" s="50"/>
      <c r="E9" s="76" t="s">
        <v>552</v>
      </c>
      <c r="F9" s="75">
        <f t="shared" si="1"/>
        <v>0.99083618078873104</v>
      </c>
      <c r="G9" s="50"/>
      <c r="H9" s="76"/>
      <c r="I9" s="75" t="str">
        <f t="shared" si="2"/>
        <v/>
      </c>
      <c r="J9" s="50"/>
      <c r="K9" s="76" t="s">
        <v>500</v>
      </c>
      <c r="L9" s="75">
        <f t="shared" si="3"/>
        <v>1.2302754074716307</v>
      </c>
      <c r="M9" s="50"/>
      <c r="N9" s="76" t="s">
        <v>494</v>
      </c>
      <c r="O9" s="75">
        <f t="shared" si="4"/>
        <v>1.0794466465054897</v>
      </c>
      <c r="R9" s="76" t="str">
        <f>B37</f>
        <v>Geospatial Equipment</v>
      </c>
      <c r="S9" s="139">
        <f>C52</f>
        <v>1.5053148050846494</v>
      </c>
      <c r="T9" s="139">
        <f>C68</f>
        <v>1.1221000399826879</v>
      </c>
      <c r="U9" s="139">
        <f>C70</f>
        <v>1.6891138029720172</v>
      </c>
      <c r="V9" s="140" t="str">
        <f>CONCATENATE(C53,", ",C69)</f>
        <v>Garmin, TomTom, Amazon.com, Best Buy, Costco Wholesale, Radioshack, Sears, Staples, Target, Walmart</v>
      </c>
    </row>
    <row r="10" spans="2:22">
      <c r="B10" s="76"/>
      <c r="C10" s="75" t="str">
        <f t="shared" si="0"/>
        <v/>
      </c>
      <c r="D10" s="50"/>
      <c r="E10" s="76"/>
      <c r="F10" s="75" t="str">
        <f t="shared" si="1"/>
        <v/>
      </c>
      <c r="G10" s="50"/>
      <c r="H10" s="76"/>
      <c r="I10" s="75" t="str">
        <f t="shared" si="2"/>
        <v/>
      </c>
      <c r="J10" s="50"/>
      <c r="K10" s="76" t="s">
        <v>511</v>
      </c>
      <c r="L10" s="75">
        <f t="shared" si="3"/>
        <v>1.1960411871740171</v>
      </c>
      <c r="M10" s="50"/>
      <c r="N10" s="76" t="s">
        <v>496</v>
      </c>
      <c r="O10" s="75">
        <f t="shared" si="4"/>
        <v>1.2394953697480269</v>
      </c>
      <c r="R10" s="76" t="str">
        <f>E37</f>
        <v>PowerTools/Outdoor Appliances</v>
      </c>
      <c r="S10" s="139">
        <f>F52</f>
        <v>1.1575866254051224</v>
      </c>
      <c r="T10" s="139">
        <f>F68</f>
        <v>1.1597260275907535</v>
      </c>
      <c r="U10" s="139">
        <f>F70</f>
        <v>1.3424833386732682</v>
      </c>
      <c r="V10" s="140" t="str">
        <f>CONCATENATE(F53,", ",F69)</f>
        <v>Black &amp; Decker, Hitachi, Makita, Toro Company, Amazon.com, Lowe's, Sears, Target, The Home Depot, Walmart</v>
      </c>
    </row>
    <row r="11" spans="2:22">
      <c r="B11" s="76"/>
      <c r="C11" s="75" t="str">
        <f t="shared" si="0"/>
        <v/>
      </c>
      <c r="D11" s="50"/>
      <c r="E11" s="76"/>
      <c r="F11" s="75" t="str">
        <f t="shared" si="1"/>
        <v/>
      </c>
      <c r="G11" s="50"/>
      <c r="H11" s="76"/>
      <c r="I11" s="75" t="str">
        <f t="shared" si="2"/>
        <v/>
      </c>
      <c r="J11" s="50"/>
      <c r="K11" s="76" t="s">
        <v>519</v>
      </c>
      <c r="L11" s="75">
        <f t="shared" si="3"/>
        <v>1.3457857196824417</v>
      </c>
      <c r="M11" s="50"/>
      <c r="N11" s="76" t="s">
        <v>530</v>
      </c>
      <c r="O11" s="75">
        <f t="shared" si="4"/>
        <v>1.0553943629205056</v>
      </c>
      <c r="R11" s="76" t="str">
        <f>H37</f>
        <v>Transport</v>
      </c>
      <c r="S11" s="139">
        <f>I52</f>
        <v>1.2012707718071005</v>
      </c>
      <c r="T11" s="139">
        <f>I68</f>
        <v>1.1535283323308521</v>
      </c>
      <c r="U11" s="139">
        <f>I70</f>
        <v>1.3856998700804402</v>
      </c>
      <c r="V11" s="140" t="str">
        <f>CONCATENATE(I53,", ",I69)</f>
        <v>Ingersoll Rand (Club Car), Mattel, Omron Corp., Textron (E-Z-Go), Yamaha, Amazon.com, Autozone, The Home Depot, Ingersoll Rand (Club Car), Pep Boys, Radioshack, Sears, Textron (E-Z-Go), Yamaha</v>
      </c>
    </row>
    <row r="12" spans="2:22">
      <c r="B12" s="76"/>
      <c r="C12" s="75" t="str">
        <f t="shared" si="0"/>
        <v/>
      </c>
      <c r="D12" s="50"/>
      <c r="E12" s="76"/>
      <c r="F12" s="75" t="str">
        <f t="shared" si="1"/>
        <v/>
      </c>
      <c r="G12" s="50"/>
      <c r="H12" s="76"/>
      <c r="I12" s="75" t="str">
        <f t="shared" si="2"/>
        <v/>
      </c>
      <c r="J12" s="50"/>
      <c r="K12" s="76" t="s">
        <v>543</v>
      </c>
      <c r="L12" s="75">
        <f t="shared" si="3"/>
        <v>1.0968973897986953</v>
      </c>
      <c r="M12" s="50"/>
      <c r="N12" s="76"/>
      <c r="O12" s="75" t="str">
        <f t="shared" si="4"/>
        <v/>
      </c>
      <c r="R12" s="76" t="str">
        <f>K37</f>
        <v>Photo/Video</v>
      </c>
      <c r="S12" s="139">
        <f>L52</f>
        <v>1.1236138155636044</v>
      </c>
      <c r="T12" s="139">
        <f>L68</f>
        <v>1.1195416614914053</v>
      </c>
      <c r="U12" s="139">
        <f>L70</f>
        <v>1.2579324779507752</v>
      </c>
      <c r="V12" s="140" t="str">
        <f>CONCATENATE(L53,", ",L69)</f>
        <v xml:space="preserve">Canon, JVC Kenwood Holdings, Kodak, Nikon, Olympus, Panasonic, Samsung, Sony, Amazon.com, Best Buy, Costco Wholesale, Office depot, Radioshack, Sears, Staples, Target, Walmart, , , </v>
      </c>
    </row>
    <row r="13" spans="2:22">
      <c r="B13" s="76"/>
      <c r="C13" s="75" t="str">
        <f t="shared" si="0"/>
        <v/>
      </c>
      <c r="D13" s="50"/>
      <c r="E13" s="76"/>
      <c r="F13" s="75" t="str">
        <f t="shared" si="1"/>
        <v/>
      </c>
      <c r="G13" s="50"/>
      <c r="H13" s="76"/>
      <c r="I13" s="75" t="str">
        <f t="shared" si="2"/>
        <v/>
      </c>
      <c r="J13" s="50"/>
      <c r="K13" s="76" t="s">
        <v>552</v>
      </c>
      <c r="L13" s="75">
        <f t="shared" si="3"/>
        <v>0.99083618078873104</v>
      </c>
      <c r="M13" s="50"/>
      <c r="N13" s="76"/>
      <c r="O13" s="75" t="str">
        <f t="shared" si="4"/>
        <v/>
      </c>
      <c r="R13" s="76" t="str">
        <f>N37</f>
        <v>Floor Care</v>
      </c>
      <c r="S13" s="139">
        <f>O52</f>
        <v>1.1351400081383354</v>
      </c>
      <c r="T13" s="139">
        <f>O68</f>
        <v>1.1483321706333034</v>
      </c>
      <c r="U13" s="139">
        <f>O70</f>
        <v>1.3035177895182004</v>
      </c>
      <c r="V13" s="140" t="str">
        <f>CONCATENATE(O53,", ",O69)</f>
        <v>Black &amp; Decker, Electrolux/Eureka, iRobot, Amazon.com, Bed Bath &amp; Beyond, Costco Wholesale, Lowe's, Sears, Target, The Home Depot, Walmart</v>
      </c>
    </row>
    <row r="14" spans="2:22">
      <c r="B14" s="76"/>
      <c r="C14" s="75" t="str">
        <f t="shared" si="0"/>
        <v/>
      </c>
      <c r="D14" s="50"/>
      <c r="E14" s="76"/>
      <c r="F14" s="75" t="str">
        <f t="shared" si="1"/>
        <v/>
      </c>
      <c r="G14" s="50"/>
      <c r="H14" s="76"/>
      <c r="I14" s="75" t="str">
        <f t="shared" si="2"/>
        <v/>
      </c>
      <c r="J14" s="50"/>
      <c r="K14" s="76" t="s">
        <v>5</v>
      </c>
      <c r="L14" s="75">
        <f t="shared" si="3"/>
        <v>1.024112435235524</v>
      </c>
      <c r="M14" s="50"/>
      <c r="N14" s="76"/>
      <c r="O14" s="75" t="str">
        <f t="shared" si="4"/>
        <v/>
      </c>
      <c r="R14" s="76" t="str">
        <f>B72</f>
        <v>Games/Entertainment</v>
      </c>
      <c r="S14" s="139">
        <f>C87</f>
        <v>1.2905537623160452</v>
      </c>
      <c r="T14" s="139">
        <f>C103</f>
        <v>1.121728614509359</v>
      </c>
      <c r="U14" s="139">
        <f>C105</f>
        <v>1.447651083752618</v>
      </c>
      <c r="V14" s="140" t="str">
        <f>CONCATENATE(C88,", ",C104)</f>
        <v>Nintendo, Sony, Mattel, Amazon.com, Best Buy, Costco Wholesale, GameStop, Radioshack, Sears, Target, Toys "R" Us, Walmart</v>
      </c>
    </row>
    <row r="15" spans="2:22">
      <c r="B15" s="76"/>
      <c r="C15" s="75" t="str">
        <f t="shared" si="0"/>
        <v/>
      </c>
      <c r="D15" s="50"/>
      <c r="E15" s="76"/>
      <c r="F15" s="75" t="str">
        <f t="shared" si="1"/>
        <v/>
      </c>
      <c r="G15" s="50"/>
      <c r="H15" s="76"/>
      <c r="I15" s="75" t="str">
        <f t="shared" si="2"/>
        <v/>
      </c>
      <c r="J15" s="50"/>
      <c r="K15" s="76" t="s">
        <v>18</v>
      </c>
      <c r="L15" s="75">
        <f t="shared" si="3"/>
        <v>1.1944528162031547</v>
      </c>
      <c r="M15" s="50"/>
      <c r="N15" s="76"/>
      <c r="O15" s="75" t="str">
        <f t="shared" si="4"/>
        <v/>
      </c>
      <c r="R15" s="76" t="str">
        <f>E72</f>
        <v>Personal Care</v>
      </c>
      <c r="S15" s="139">
        <f>F87</f>
        <v>1.1026348499351197</v>
      </c>
      <c r="T15" s="139">
        <f>F103</f>
        <v>1.1111900223658016</v>
      </c>
      <c r="U15" s="139">
        <f>F105</f>
        <v>1.2252368435607179</v>
      </c>
      <c r="V15" s="140" t="str">
        <f>CONCATENATE(F88,", ",F104)</f>
        <v>Panasonic, Philips, Amazon.com, Bed Bath &amp; Beyond, Costco Wholesale, CVS, RiteAid, Sears, Target, Walgreens, Walmart</v>
      </c>
    </row>
    <row r="16" spans="2:22" ht="13.5" thickBot="1">
      <c r="B16" s="77"/>
      <c r="C16" s="75" t="str">
        <f t="shared" si="0"/>
        <v/>
      </c>
      <c r="D16" s="50"/>
      <c r="E16" s="77"/>
      <c r="F16" s="75" t="str">
        <f t="shared" si="1"/>
        <v/>
      </c>
      <c r="G16" s="50"/>
      <c r="H16" s="77"/>
      <c r="I16" s="75" t="str">
        <f t="shared" si="2"/>
        <v/>
      </c>
      <c r="J16" s="50"/>
      <c r="K16" s="77"/>
      <c r="L16" s="75" t="str">
        <f t="shared" si="3"/>
        <v/>
      </c>
      <c r="M16" s="50"/>
      <c r="N16" s="77"/>
      <c r="O16" s="75" t="str">
        <f t="shared" si="4"/>
        <v/>
      </c>
      <c r="R16" s="141" t="s">
        <v>88</v>
      </c>
      <c r="S16" s="139">
        <f>I87</f>
        <v>1.3950692756993435</v>
      </c>
      <c r="T16" s="139">
        <f>I103</f>
        <v>1.0630945951443171</v>
      </c>
      <c r="U16" s="139">
        <f>I105</f>
        <v>1.4830906068478693</v>
      </c>
      <c r="V16" s="140" t="str">
        <f>CONCATENATE(I88,", ",I104)</f>
        <v>Covidien, Omron Corp., Philips, Resmed, Henry Schein, Owens &amp; Minor, PSS World Medical</v>
      </c>
    </row>
    <row r="17" spans="2:22">
      <c r="B17" s="51" t="s">
        <v>42</v>
      </c>
      <c r="C17" s="52">
        <f>AVERAGE(C4:C16)</f>
        <v>1.1522589646869794</v>
      </c>
      <c r="D17" s="50"/>
      <c r="E17" s="51" t="s">
        <v>42</v>
      </c>
      <c r="F17" s="52">
        <f>AVERAGE(F4:F16)</f>
        <v>1.2870448175156712</v>
      </c>
      <c r="G17" s="50"/>
      <c r="H17" s="51" t="s">
        <v>42</v>
      </c>
      <c r="I17" s="52">
        <f>AVERAGE(I4:I16)</f>
        <v>1.1696470333371778</v>
      </c>
      <c r="J17" s="50"/>
      <c r="K17" s="51" t="s">
        <v>42</v>
      </c>
      <c r="L17" s="52">
        <f>AVERAGE(L4:L15)</f>
        <v>1.1490379865151081</v>
      </c>
      <c r="M17" s="50"/>
      <c r="N17" s="51" t="s">
        <v>42</v>
      </c>
      <c r="O17" s="52">
        <f>AVERAGE(O4:O16)</f>
        <v>1.15477523921464</v>
      </c>
      <c r="R17" s="76" t="str">
        <f>K72</f>
        <v>Home Systems</v>
      </c>
      <c r="S17" s="139">
        <f>L87</f>
        <v>1.1067259940241332</v>
      </c>
      <c r="T17" s="139">
        <f>L103</f>
        <v>1.2085713333649406</v>
      </c>
      <c r="U17" s="139">
        <f>L105</f>
        <v>1.3375573102673859</v>
      </c>
      <c r="V17" s="140" t="str">
        <f>CONCATENATE(L88,", ",L104)</f>
        <v>General Electric, Honeywell, Napco Security, Toro Company, Whirlpool, Amazon.com, Broadview Security, The Home Depot, Lowe's, Tyco International (ADT)</v>
      </c>
    </row>
    <row r="18" spans="2:22" ht="13.5" thickBot="1">
      <c r="B18" s="53" t="s">
        <v>40</v>
      </c>
      <c r="C18" s="54" t="str">
        <f>CONCATENATE(B4,", ",B5,", ",B6,", ",B7,", ",B8)</f>
        <v>Apple, JVC Kenwood Holdings, Logitech, Sandisk, Sony</v>
      </c>
      <c r="D18" s="50" t="s">
        <v>327</v>
      </c>
      <c r="E18" s="53" t="s">
        <v>40</v>
      </c>
      <c r="F18" s="54" t="str">
        <f>CONCATENATE(E4,", ",E5,", ",E6,", ",E7,", ",E8)</f>
        <v>Apple, Motorola, Nokia, Research In Motion, Samsung</v>
      </c>
      <c r="G18" s="50" t="s">
        <v>327</v>
      </c>
      <c r="H18" s="53" t="s">
        <v>40</v>
      </c>
      <c r="I18" s="54" t="str">
        <f>CONCATENATE(H4,", ",H5,", ",H6,", ",H7)</f>
        <v>Motorola, Panasonic, Philips, Vtech</v>
      </c>
      <c r="J18" s="50" t="s">
        <v>327</v>
      </c>
      <c r="K18" s="53" t="s">
        <v>40</v>
      </c>
      <c r="L18" s="54" t="str">
        <f>CONCATENATE(K4,", ",K5,", ",K6,", ",K7,", ",K8,", ",K9,", ",K10,", ",K11,", ",K12,", ",K13,", ",K14,", ",K15)</f>
        <v>Acer (Gateway), Apple, Dell, Hewlett Packard, LG, Logitech, Netgear, Nokia, Samsung, Sony, Toshiba, Western Digital</v>
      </c>
      <c r="M18" s="50" t="s">
        <v>327</v>
      </c>
      <c r="N18" s="53" t="s">
        <v>40</v>
      </c>
      <c r="O18" s="54" t="str">
        <f>CONCATENATE(N4,", ",N5,", ",N6,", ",N7,", ",N8,", ",N9,", ",N10,", ",N11)</f>
        <v>Brother, Canon, Dell, Epson, Hewlett Packard, Kodak, Lexmark, Panasonic</v>
      </c>
      <c r="P18" s="29" t="s">
        <v>327</v>
      </c>
      <c r="R18" s="76" t="str">
        <f>N72</f>
        <v>Amateur Radios</v>
      </c>
      <c r="S18" s="139">
        <f>O87</f>
        <v>1.031296474083939</v>
      </c>
      <c r="T18" s="139">
        <f>O103</f>
        <v>1.1256306573136345</v>
      </c>
      <c r="U18" s="139">
        <v>1.24</v>
      </c>
      <c r="V18" s="140" t="s">
        <v>1243</v>
      </c>
    </row>
    <row r="19" spans="2:22">
      <c r="B19" s="55" t="s">
        <v>43</v>
      </c>
      <c r="C19" s="56" t="s">
        <v>420</v>
      </c>
      <c r="D19" s="50"/>
      <c r="E19" s="55" t="s">
        <v>43</v>
      </c>
      <c r="F19" s="56" t="s">
        <v>420</v>
      </c>
      <c r="G19" s="50"/>
      <c r="H19" s="55" t="s">
        <v>43</v>
      </c>
      <c r="I19" s="56" t="s">
        <v>420</v>
      </c>
      <c r="J19" s="50"/>
      <c r="K19" s="55" t="s">
        <v>43</v>
      </c>
      <c r="L19" s="56" t="s">
        <v>420</v>
      </c>
      <c r="M19" s="50"/>
      <c r="N19" s="55" t="s">
        <v>43</v>
      </c>
      <c r="O19" s="56" t="s">
        <v>420</v>
      </c>
      <c r="R19" s="76" t="str">
        <f>B107</f>
        <v>Uninterruptible Power Supply</v>
      </c>
      <c r="S19" s="139">
        <f>C122</f>
        <v>1.1507526065465243</v>
      </c>
      <c r="T19" s="139">
        <f>C138</f>
        <v>1.1706364217823508</v>
      </c>
      <c r="U19" s="139">
        <f>C140</f>
        <v>1.3471129136843367</v>
      </c>
      <c r="V19" s="140" t="str">
        <f>CONCATENATE(C123,", ",C139)</f>
        <v>General Electric, OCZ Technology, Schneider Electric (APC), Systemax (Ultra), Amazon.com, Best Buy, Radioshack</v>
      </c>
    </row>
    <row r="20" spans="2:22">
      <c r="B20" s="74" t="s">
        <v>428</v>
      </c>
      <c r="C20" s="75">
        <f t="shared" ref="C20:C32" si="5">IF(B20="","",VLOOKUP(B20,Markups_Inc,28,FALSE))</f>
        <v>1.3526202618556071</v>
      </c>
      <c r="D20" s="50"/>
      <c r="E20" s="74" t="s">
        <v>427</v>
      </c>
      <c r="F20" s="75">
        <f t="shared" ref="F20:F32" si="6">IF(E20="","",VLOOKUP(E20,Markups_Inc,28,FALSE))</f>
        <v>1.2711247874801748</v>
      </c>
      <c r="G20" s="50"/>
      <c r="H20" s="74" t="s">
        <v>427</v>
      </c>
      <c r="I20" s="75">
        <f t="shared" ref="I20:I32" si="7">IF(H20="","",VLOOKUP(H20,Markups_Inc,28,FALSE))</f>
        <v>1.2711247874801748</v>
      </c>
      <c r="J20" s="50"/>
      <c r="K20" s="74" t="s">
        <v>427</v>
      </c>
      <c r="L20" s="75">
        <f t="shared" ref="L20:L32" si="8">IF(K20="","",VLOOKUP(K20,Markups_Inc,28,FALSE))</f>
        <v>1.2711247874801748</v>
      </c>
      <c r="M20" s="50"/>
      <c r="N20" s="74" t="s">
        <v>427</v>
      </c>
      <c r="O20" s="75">
        <f t="shared" ref="O20:O32" si="9">IF(N20="","",VLOOKUP(N20,Markups_Inc,28,FALSE))</f>
        <v>1.2711247874801748</v>
      </c>
      <c r="R20" s="76" t="str">
        <f>E107</f>
        <v>BC/EPS Distributors</v>
      </c>
      <c r="S20" s="142" t="s">
        <v>44</v>
      </c>
      <c r="T20" s="142" t="s">
        <v>44</v>
      </c>
      <c r="U20" s="139">
        <f>F123</f>
        <v>1.031296474083939</v>
      </c>
      <c r="V20" s="140" t="str">
        <f>CONCATENATE(F122)</f>
        <v>Arrow Electronics, Avnet, Bell Microproducts, Nu Horizons</v>
      </c>
    </row>
    <row r="21" spans="2:22" ht="13.5" thickBot="1">
      <c r="B21" s="76" t="s">
        <v>458</v>
      </c>
      <c r="C21" s="75">
        <f t="shared" si="5"/>
        <v>1.0678996523265634</v>
      </c>
      <c r="D21" s="50"/>
      <c r="E21" s="76" t="s">
        <v>468</v>
      </c>
      <c r="F21" s="75">
        <f t="shared" si="6"/>
        <v>1.0303557136102093</v>
      </c>
      <c r="G21" s="50"/>
      <c r="H21" s="76" t="s">
        <v>458</v>
      </c>
      <c r="I21" s="75">
        <f t="shared" si="7"/>
        <v>1.0678996523265634</v>
      </c>
      <c r="J21" s="50"/>
      <c r="K21" s="76" t="s">
        <v>428</v>
      </c>
      <c r="L21" s="75">
        <f t="shared" si="8"/>
        <v>1.3526202618556071</v>
      </c>
      <c r="M21" s="50"/>
      <c r="N21" s="76" t="s">
        <v>428</v>
      </c>
      <c r="O21" s="75">
        <f t="shared" si="9"/>
        <v>1.3526202618556071</v>
      </c>
      <c r="R21" s="143" t="str">
        <f>H107</f>
        <v>Other</v>
      </c>
      <c r="S21" s="144">
        <f>I109</f>
        <v>1.1845420077032336</v>
      </c>
      <c r="T21" s="144">
        <f>I111</f>
        <v>1.1256306573136345</v>
      </c>
      <c r="U21" s="144">
        <f>I112</f>
        <v>1.3333567987466031</v>
      </c>
      <c r="V21" s="145" t="str">
        <f>CONCATENATE(H109,", ",H111)</f>
        <v>Average Manufacturer, Average Retailer</v>
      </c>
    </row>
    <row r="22" spans="2:22">
      <c r="B22" s="76" t="s">
        <v>536</v>
      </c>
      <c r="C22" s="75">
        <f t="shared" si="5"/>
        <v>1.1728848255403146</v>
      </c>
      <c r="D22" s="50"/>
      <c r="E22" s="76" t="s">
        <v>536</v>
      </c>
      <c r="F22" s="75">
        <f t="shared" si="6"/>
        <v>1.1728848255403146</v>
      </c>
      <c r="G22" s="50"/>
      <c r="H22" s="76" t="s">
        <v>468</v>
      </c>
      <c r="I22" s="75">
        <f t="shared" si="7"/>
        <v>1.0303557136102093</v>
      </c>
      <c r="J22" s="50"/>
      <c r="K22" s="76" t="s">
        <v>458</v>
      </c>
      <c r="L22" s="75">
        <f t="shared" si="8"/>
        <v>1.0678996523265634</v>
      </c>
      <c r="M22" s="50"/>
      <c r="N22" s="76" t="s">
        <v>458</v>
      </c>
      <c r="O22" s="75">
        <f t="shared" si="9"/>
        <v>1.0678996523265634</v>
      </c>
    </row>
    <row r="23" spans="2:22">
      <c r="B23" s="76" t="s">
        <v>555</v>
      </c>
      <c r="C23" s="75">
        <f t="shared" si="5"/>
        <v>1.1076845701494202</v>
      </c>
      <c r="D23" s="50"/>
      <c r="E23" s="76" t="s">
        <v>550</v>
      </c>
      <c r="F23" s="75">
        <f t="shared" si="6"/>
        <v>1.0710659432207055</v>
      </c>
      <c r="G23" s="50"/>
      <c r="H23" s="76" t="s">
        <v>536</v>
      </c>
      <c r="I23" s="75">
        <f t="shared" si="7"/>
        <v>1.1728848255403146</v>
      </c>
      <c r="J23" s="50"/>
      <c r="K23" s="76" t="s">
        <v>468</v>
      </c>
      <c r="L23" s="75">
        <f t="shared" si="8"/>
        <v>1.0303557136102093</v>
      </c>
      <c r="M23" s="50"/>
      <c r="N23" s="76" t="s">
        <v>468</v>
      </c>
      <c r="O23" s="75">
        <f t="shared" si="9"/>
        <v>1.0303557136102093</v>
      </c>
    </row>
    <row r="24" spans="2:22">
      <c r="B24" s="76" t="s">
        <v>559</v>
      </c>
      <c r="C24" s="75">
        <f t="shared" si="5"/>
        <v>1.1795273025112403</v>
      </c>
      <c r="D24" s="50"/>
      <c r="E24" s="76" t="s">
        <v>559</v>
      </c>
      <c r="F24" s="75">
        <f t="shared" si="6"/>
        <v>1.1795273025112403</v>
      </c>
      <c r="G24" s="50"/>
      <c r="H24" s="76" t="s">
        <v>555</v>
      </c>
      <c r="I24" s="75">
        <f t="shared" si="7"/>
        <v>1.1076845701494202</v>
      </c>
      <c r="J24" s="50"/>
      <c r="K24" s="76" t="s">
        <v>474</v>
      </c>
      <c r="L24" s="75">
        <f t="shared" si="8"/>
        <v>1.0783066611541814</v>
      </c>
      <c r="M24" s="50"/>
      <c r="N24" s="76" t="s">
        <v>474</v>
      </c>
      <c r="O24" s="75">
        <f t="shared" si="9"/>
        <v>1.0783066611541814</v>
      </c>
    </row>
    <row r="25" spans="2:22">
      <c r="B25" s="76" t="s">
        <v>17</v>
      </c>
      <c r="C25" s="75">
        <f t="shared" si="5"/>
        <v>1.076257525022875</v>
      </c>
      <c r="D25" s="50"/>
      <c r="E25" s="76" t="s">
        <v>17</v>
      </c>
      <c r="F25" s="75">
        <f t="shared" si="6"/>
        <v>1.076257525022875</v>
      </c>
      <c r="G25" s="50"/>
      <c r="H25" s="76" t="s">
        <v>559</v>
      </c>
      <c r="I25" s="75">
        <f t="shared" si="7"/>
        <v>1.1795273025112403</v>
      </c>
      <c r="J25" s="50"/>
      <c r="K25" s="76" t="s">
        <v>517</v>
      </c>
      <c r="L25" s="75">
        <f t="shared" si="8"/>
        <v>1.0990746335611439</v>
      </c>
      <c r="M25" s="50"/>
      <c r="N25" s="76" t="s">
        <v>522</v>
      </c>
      <c r="O25" s="75">
        <f t="shared" si="9"/>
        <v>1.0990746335611439</v>
      </c>
    </row>
    <row r="26" spans="2:22">
      <c r="B26" s="76"/>
      <c r="C26" s="75" t="str">
        <f t="shared" si="5"/>
        <v/>
      </c>
      <c r="D26" s="50"/>
      <c r="E26" s="76"/>
      <c r="F26" s="75" t="str">
        <f t="shared" si="6"/>
        <v/>
      </c>
      <c r="G26" s="50"/>
      <c r="H26" s="76" t="s">
        <v>17</v>
      </c>
      <c r="I26" s="75">
        <f t="shared" si="7"/>
        <v>1.076257525022875</v>
      </c>
      <c r="J26" s="50"/>
      <c r="K26" s="76" t="s">
        <v>536</v>
      </c>
      <c r="L26" s="75">
        <f t="shared" si="8"/>
        <v>1.1728848255403146</v>
      </c>
      <c r="M26" s="50"/>
      <c r="N26" s="76" t="s">
        <v>550</v>
      </c>
      <c r="O26" s="75">
        <f t="shared" si="9"/>
        <v>1.0710659432207055</v>
      </c>
    </row>
    <row r="27" spans="2:22">
      <c r="B27" s="76"/>
      <c r="C27" s="75" t="str">
        <f t="shared" si="5"/>
        <v/>
      </c>
      <c r="D27" s="50"/>
      <c r="E27" s="76"/>
      <c r="F27" s="75" t="str">
        <f t="shared" si="6"/>
        <v/>
      </c>
      <c r="G27" s="50"/>
      <c r="H27" s="76"/>
      <c r="I27" s="75" t="str">
        <f t="shared" si="7"/>
        <v/>
      </c>
      <c r="J27" s="50"/>
      <c r="K27" s="76" t="s">
        <v>550</v>
      </c>
      <c r="L27" s="75">
        <f t="shared" si="8"/>
        <v>1.0710659432207055</v>
      </c>
      <c r="M27" s="50"/>
      <c r="N27" s="76" t="s">
        <v>555</v>
      </c>
      <c r="O27" s="75">
        <f t="shared" si="9"/>
        <v>1.1076845701494202</v>
      </c>
    </row>
    <row r="28" spans="2:22">
      <c r="B28" s="76"/>
      <c r="C28" s="75" t="str">
        <f t="shared" si="5"/>
        <v/>
      </c>
      <c r="D28" s="50"/>
      <c r="E28" s="76"/>
      <c r="F28" s="75" t="str">
        <f t="shared" si="6"/>
        <v/>
      </c>
      <c r="G28" s="50"/>
      <c r="H28" s="76"/>
      <c r="I28" s="75" t="str">
        <f t="shared" si="7"/>
        <v/>
      </c>
      <c r="J28" s="50"/>
      <c r="K28" s="76" t="s">
        <v>555</v>
      </c>
      <c r="L28" s="75">
        <f t="shared" si="8"/>
        <v>1.1076845701494202</v>
      </c>
      <c r="M28" s="50"/>
      <c r="N28" s="76" t="s">
        <v>559</v>
      </c>
      <c r="O28" s="75">
        <f t="shared" si="9"/>
        <v>1.1795273025112403</v>
      </c>
    </row>
    <row r="29" spans="2:22">
      <c r="B29" s="76"/>
      <c r="C29" s="75" t="str">
        <f t="shared" si="5"/>
        <v/>
      </c>
      <c r="D29" s="50"/>
      <c r="E29" s="76"/>
      <c r="F29" s="75" t="str">
        <f t="shared" si="6"/>
        <v/>
      </c>
      <c r="G29" s="50"/>
      <c r="H29" s="76"/>
      <c r="I29" s="75" t="str">
        <f t="shared" si="7"/>
        <v/>
      </c>
      <c r="J29" s="50"/>
      <c r="K29" s="76" t="s">
        <v>559</v>
      </c>
      <c r="L29" s="75">
        <f t="shared" si="8"/>
        <v>1.1795273025112403</v>
      </c>
      <c r="M29" s="50"/>
      <c r="N29" s="76" t="s">
        <v>17</v>
      </c>
      <c r="O29" s="75">
        <f t="shared" si="9"/>
        <v>1.076257525022875</v>
      </c>
    </row>
    <row r="30" spans="2:22">
      <c r="B30" s="76"/>
      <c r="C30" s="75" t="str">
        <f t="shared" si="5"/>
        <v/>
      </c>
      <c r="D30" s="50"/>
      <c r="E30" s="76"/>
      <c r="F30" s="75" t="str">
        <f t="shared" si="6"/>
        <v/>
      </c>
      <c r="G30" s="50"/>
      <c r="H30" s="76"/>
      <c r="I30" s="75" t="str">
        <f t="shared" si="7"/>
        <v/>
      </c>
      <c r="J30" s="50"/>
      <c r="K30" s="76" t="s">
        <v>17</v>
      </c>
      <c r="L30" s="75">
        <f t="shared" si="8"/>
        <v>1.076257525022875</v>
      </c>
      <c r="M30" s="50"/>
      <c r="N30" s="76"/>
      <c r="O30" s="75" t="str">
        <f t="shared" si="9"/>
        <v/>
      </c>
    </row>
    <row r="31" spans="2:22">
      <c r="B31" s="76"/>
      <c r="C31" s="75" t="str">
        <f t="shared" si="5"/>
        <v/>
      </c>
      <c r="D31" s="50"/>
      <c r="E31" s="76"/>
      <c r="F31" s="75" t="str">
        <f t="shared" si="6"/>
        <v/>
      </c>
      <c r="G31" s="50"/>
      <c r="H31" s="76"/>
      <c r="I31" s="75" t="str">
        <f t="shared" si="7"/>
        <v/>
      </c>
      <c r="J31" s="50"/>
      <c r="K31" s="76"/>
      <c r="L31" s="75" t="str">
        <f t="shared" si="8"/>
        <v/>
      </c>
      <c r="M31" s="50"/>
      <c r="N31" s="76"/>
      <c r="O31" s="75" t="str">
        <f t="shared" si="9"/>
        <v/>
      </c>
    </row>
    <row r="32" spans="2:22" ht="13.5" thickBot="1">
      <c r="B32" s="77"/>
      <c r="C32" s="75" t="str">
        <f t="shared" si="5"/>
        <v/>
      </c>
      <c r="D32" s="50"/>
      <c r="E32" s="77"/>
      <c r="F32" s="75" t="str">
        <f t="shared" si="6"/>
        <v/>
      </c>
      <c r="G32" s="50"/>
      <c r="H32" s="77"/>
      <c r="I32" s="75" t="str">
        <f t="shared" si="7"/>
        <v/>
      </c>
      <c r="J32" s="50"/>
      <c r="K32" s="77"/>
      <c r="L32" s="75" t="str">
        <f t="shared" si="8"/>
        <v/>
      </c>
      <c r="M32" s="50"/>
      <c r="N32" s="77"/>
      <c r="O32" s="75" t="str">
        <f t="shared" si="9"/>
        <v/>
      </c>
    </row>
    <row r="33" spans="2:16">
      <c r="B33" s="51" t="s">
        <v>42</v>
      </c>
      <c r="C33" s="52">
        <f>AVERAGE(C20:C32)</f>
        <v>1.1594790229010035</v>
      </c>
      <c r="D33" s="50"/>
      <c r="E33" s="51" t="s">
        <v>42</v>
      </c>
      <c r="F33" s="52">
        <f>AVERAGE(F20:F32)</f>
        <v>1.1335360162309198</v>
      </c>
      <c r="G33" s="50"/>
      <c r="H33" s="51" t="s">
        <v>42</v>
      </c>
      <c r="I33" s="52">
        <f>AVERAGE(I20:I32)</f>
        <v>1.1293906252343995</v>
      </c>
      <c r="J33" s="50"/>
      <c r="K33" s="51" t="s">
        <v>42</v>
      </c>
      <c r="L33" s="52">
        <f>AVERAGE(L20:L32)</f>
        <v>1.1369819887665853</v>
      </c>
      <c r="M33" s="50"/>
      <c r="N33" s="51" t="s">
        <v>42</v>
      </c>
      <c r="O33" s="52">
        <f>AVERAGE(O20:O32)</f>
        <v>1.1333917050892122</v>
      </c>
    </row>
    <row r="34" spans="2:16" ht="13.5" thickBot="1">
      <c r="B34" s="53" t="s">
        <v>40</v>
      </c>
      <c r="C34" s="54" t="str">
        <f>CONCATENATE(B20,", ",B21,", ",B22,", ",B23,", ",B24,", ",B25)</f>
        <v>Apple, Best Buy, Radioshack, Staples, Target, Walmart</v>
      </c>
      <c r="D34" s="29" t="s">
        <v>327</v>
      </c>
      <c r="E34" s="53" t="s">
        <v>40</v>
      </c>
      <c r="F34" s="54" t="str">
        <f>CONCATENATE(E20,", ",E24,", ",E21,", ",E22,", ",E23,", ",E25)</f>
        <v>Amazon.com, Target, Costco Wholesale, Radioshack, Sears, Walmart</v>
      </c>
      <c r="G34" s="29" t="s">
        <v>327</v>
      </c>
      <c r="H34" s="53" t="s">
        <v>40</v>
      </c>
      <c r="I34" s="54" t="str">
        <f>CONCATENATE(H20,", ",H21,", ",H22,", ",H23,", ",H24,", ",H25,", ",H26)</f>
        <v>Amazon.com, Best Buy, Costco Wholesale, Radioshack, Staples, Target, Walmart</v>
      </c>
      <c r="J34" s="29" t="s">
        <v>327</v>
      </c>
      <c r="K34" s="53" t="s">
        <v>40</v>
      </c>
      <c r="L34" s="54" t="str">
        <f>CONCATENATE(K20,", ",K21,", ",K22,", ",K23,", ",K24,", ",K25,", ",K26,", ",K27,", ",K28,", ",K29,", ",K30)</f>
        <v>Amazon.com, Apple, Best Buy, Costco Wholesale, Dell, Office Depot, Radioshack, Sears, Staples, Target, Walmart</v>
      </c>
      <c r="M34" s="29" t="s">
        <v>327</v>
      </c>
      <c r="N34" s="53" t="s">
        <v>40</v>
      </c>
      <c r="O34" s="54" t="str">
        <f>CONCATENATE(N20,", ",N21,", ",N22,", ",N23,", ",N24,", ",N25,", ",N26,", ",N27,", ",N28,", ",N29)</f>
        <v>Amazon.com, Apple, Best Buy, Costco Wholesale, Dell, Office depot, Sears, Staples, Target, Walmart</v>
      </c>
      <c r="P34" s="29" t="s">
        <v>327</v>
      </c>
    </row>
    <row r="35" spans="2:16" ht="13.5" thickBot="1">
      <c r="B35" s="57" t="s">
        <v>39</v>
      </c>
      <c r="C35" s="58">
        <f>(C17*C33)</f>
        <v>1.3360200985041808</v>
      </c>
      <c r="D35" s="50"/>
      <c r="E35" s="57" t="s">
        <v>39</v>
      </c>
      <c r="F35" s="58">
        <f>(F17*F33)</f>
        <v>1.4589116551573651</v>
      </c>
      <c r="G35" s="50"/>
      <c r="H35" s="57" t="s">
        <v>39</v>
      </c>
      <c r="I35" s="58">
        <f>(I17*I33)</f>
        <v>1.3209883942842358</v>
      </c>
      <c r="J35" s="50"/>
      <c r="K35" s="57" t="s">
        <v>39</v>
      </c>
      <c r="L35" s="58">
        <f>(L17*L33)</f>
        <v>1.3064354950763004</v>
      </c>
      <c r="M35" s="50"/>
      <c r="N35" s="57" t="s">
        <v>39</v>
      </c>
      <c r="O35" s="58">
        <f>(O17*O33)</f>
        <v>1.3088126773682838</v>
      </c>
    </row>
    <row r="36" spans="2:16" ht="13.5" thickBot="1">
      <c r="B36" s="50"/>
      <c r="C36" s="50"/>
      <c r="D36" s="50"/>
      <c r="E36" s="50"/>
      <c r="F36" s="50"/>
      <c r="G36" s="50"/>
      <c r="H36" s="50"/>
      <c r="I36" s="50"/>
      <c r="J36" s="50"/>
      <c r="K36" s="50"/>
      <c r="L36" s="50"/>
      <c r="M36" s="50"/>
      <c r="N36" s="50"/>
      <c r="O36" s="50"/>
    </row>
    <row r="37" spans="2:16" ht="15">
      <c r="B37" s="1201" t="s">
        <v>163</v>
      </c>
      <c r="C37" s="1202"/>
      <c r="D37" s="50"/>
      <c r="E37" s="1201" t="s">
        <v>45</v>
      </c>
      <c r="F37" s="1202"/>
      <c r="G37" s="50"/>
      <c r="H37" s="1201" t="s">
        <v>90</v>
      </c>
      <c r="I37" s="1202"/>
      <c r="J37" s="50"/>
      <c r="K37" s="1201" t="s">
        <v>202</v>
      </c>
      <c r="L37" s="1202"/>
      <c r="M37" s="50"/>
      <c r="N37" s="1201" t="s">
        <v>46</v>
      </c>
      <c r="O37" s="1202"/>
    </row>
    <row r="38" spans="2:16">
      <c r="B38" s="59" t="s">
        <v>35</v>
      </c>
      <c r="C38" s="60" t="s">
        <v>420</v>
      </c>
      <c r="D38" s="50"/>
      <c r="E38" s="59" t="s">
        <v>35</v>
      </c>
      <c r="F38" s="60" t="s">
        <v>420</v>
      </c>
      <c r="G38" s="50"/>
      <c r="H38" s="59" t="s">
        <v>35</v>
      </c>
      <c r="I38" s="60" t="s">
        <v>420</v>
      </c>
      <c r="J38" s="50"/>
      <c r="K38" s="59" t="s">
        <v>35</v>
      </c>
      <c r="L38" s="60" t="s">
        <v>420</v>
      </c>
      <c r="M38" s="50"/>
      <c r="N38" s="59" t="s">
        <v>35</v>
      </c>
      <c r="O38" s="60" t="s">
        <v>420</v>
      </c>
    </row>
    <row r="39" spans="2:16">
      <c r="B39" s="74" t="s">
        <v>480</v>
      </c>
      <c r="C39" s="75">
        <f t="shared" ref="C39:C51" si="10">IF(B39="","",VLOOKUP(B39,Markups_Inc,28,FALSE))</f>
        <v>1.640249900319537</v>
      </c>
      <c r="D39" s="50"/>
      <c r="E39" s="74" t="s">
        <v>460</v>
      </c>
      <c r="F39" s="75">
        <f t="shared" ref="F39:F51" si="11">IF(E39="","",VLOOKUP(E39,Markups_Inc,28,FALSE))</f>
        <v>1.1437773199909536</v>
      </c>
      <c r="G39" s="50"/>
      <c r="H39" s="74" t="s">
        <v>490</v>
      </c>
      <c r="I39" s="75">
        <f t="shared" ref="I39:I51" si="12">IF(H39="","",VLOOKUP(H39,Markups_Inc,28,FALSE))</f>
        <v>1.1115864216853639</v>
      </c>
      <c r="J39" s="50"/>
      <c r="K39" s="74" t="s">
        <v>466</v>
      </c>
      <c r="L39" s="75">
        <f t="shared" ref="L39:L51" si="13">IF(K39="","",VLOOKUP(K39,Markups_Inc,28,FALSE))</f>
        <v>1.4637883373672498</v>
      </c>
      <c r="M39" s="50"/>
      <c r="N39" s="74" t="s">
        <v>460</v>
      </c>
      <c r="O39" s="75">
        <f t="shared" ref="O39:O51" si="14">IF(N39="","",VLOOKUP(N39,Markups_Inc,28,FALSE))</f>
        <v>1.1437773199909536</v>
      </c>
    </row>
    <row r="40" spans="2:16">
      <c r="B40" s="76" t="s">
        <v>2</v>
      </c>
      <c r="C40" s="75">
        <f t="shared" si="10"/>
        <v>1.3703797098497617</v>
      </c>
      <c r="D40" s="50"/>
      <c r="E40" s="76" t="s">
        <v>487</v>
      </c>
      <c r="F40" s="75">
        <f t="shared" si="11"/>
        <v>1.0260649636266905</v>
      </c>
      <c r="G40" s="50"/>
      <c r="H40" s="76" t="s">
        <v>505</v>
      </c>
      <c r="I40" s="75">
        <f t="shared" si="12"/>
        <v>1.4315772464016121</v>
      </c>
      <c r="J40" s="50"/>
      <c r="K40" s="76" t="s">
        <v>492</v>
      </c>
      <c r="L40" s="75">
        <f t="shared" si="13"/>
        <v>1.0004999143665205</v>
      </c>
      <c r="M40" s="50"/>
      <c r="N40" s="76" t="s">
        <v>475</v>
      </c>
      <c r="O40" s="75">
        <f t="shared" si="14"/>
        <v>1.0349789544354069</v>
      </c>
    </row>
    <row r="41" spans="2:16">
      <c r="B41" s="76"/>
      <c r="C41" s="75" t="str">
        <f t="shared" si="10"/>
        <v/>
      </c>
      <c r="D41" s="50"/>
      <c r="E41" s="76" t="s">
        <v>503</v>
      </c>
      <c r="F41" s="75">
        <f t="shared" si="11"/>
        <v>1.3064075783712705</v>
      </c>
      <c r="G41" s="50"/>
      <c r="H41" s="76" t="s">
        <v>524</v>
      </c>
      <c r="I41" s="75">
        <f t="shared" si="12"/>
        <v>1.2124491897063565</v>
      </c>
      <c r="J41" s="50"/>
      <c r="K41" s="76" t="s">
        <v>494</v>
      </c>
      <c r="L41" s="75">
        <f t="shared" si="13"/>
        <v>1.0794466465054897</v>
      </c>
      <c r="M41" s="50"/>
      <c r="N41" s="76" t="s">
        <v>491</v>
      </c>
      <c r="O41" s="75">
        <f t="shared" si="14"/>
        <v>1.2266637499886452</v>
      </c>
    </row>
    <row r="42" spans="2:16">
      <c r="B42" s="76"/>
      <c r="C42" s="75" t="str">
        <f t="shared" si="10"/>
        <v/>
      </c>
      <c r="D42" s="50"/>
      <c r="E42" s="76" t="s">
        <v>4</v>
      </c>
      <c r="F42" s="75">
        <f t="shared" si="11"/>
        <v>1.154096639631575</v>
      </c>
      <c r="G42" s="50"/>
      <c r="H42" s="76" t="s">
        <v>561</v>
      </c>
      <c r="I42" s="75">
        <f t="shared" si="12"/>
        <v>1.1791121033991243</v>
      </c>
      <c r="J42" s="50"/>
      <c r="K42" s="76" t="s">
        <v>513</v>
      </c>
      <c r="L42" s="75">
        <f t="shared" si="13"/>
        <v>1.1654319020149453</v>
      </c>
      <c r="M42" s="50"/>
      <c r="N42" s="76"/>
      <c r="O42" s="75" t="str">
        <f t="shared" si="14"/>
        <v/>
      </c>
    </row>
    <row r="43" spans="2:16">
      <c r="B43" s="76"/>
      <c r="C43" s="75" t="str">
        <f t="shared" si="10"/>
        <v/>
      </c>
      <c r="D43" s="50"/>
      <c r="E43" s="76"/>
      <c r="F43" s="75" t="str">
        <f t="shared" si="11"/>
        <v/>
      </c>
      <c r="G43" s="50"/>
      <c r="H43" s="76" t="s">
        <v>21</v>
      </c>
      <c r="I43" s="75">
        <f t="shared" si="12"/>
        <v>1.0716288978430457</v>
      </c>
      <c r="J43" s="50"/>
      <c r="K43" s="76" t="s">
        <v>523</v>
      </c>
      <c r="L43" s="75">
        <f t="shared" si="13"/>
        <v>1.1366157907466972</v>
      </c>
      <c r="M43" s="50"/>
      <c r="N43" s="76"/>
      <c r="O43" s="75" t="str">
        <f t="shared" si="14"/>
        <v/>
      </c>
    </row>
    <row r="44" spans="2:16">
      <c r="B44" s="76"/>
      <c r="C44" s="75" t="str">
        <f t="shared" si="10"/>
        <v/>
      </c>
      <c r="D44" s="50"/>
      <c r="E44" s="76"/>
      <c r="F44" s="75" t="str">
        <f t="shared" si="11"/>
        <v/>
      </c>
      <c r="G44" s="50"/>
      <c r="H44" s="76"/>
      <c r="I44" s="75" t="str">
        <f t="shared" si="12"/>
        <v/>
      </c>
      <c r="J44" s="50"/>
      <c r="K44" s="76" t="s">
        <v>530</v>
      </c>
      <c r="L44" s="75">
        <f t="shared" si="13"/>
        <v>1.0553943629205056</v>
      </c>
      <c r="M44" s="50"/>
      <c r="N44" s="76"/>
      <c r="O44" s="75" t="str">
        <f t="shared" si="14"/>
        <v/>
      </c>
    </row>
    <row r="45" spans="2:16">
      <c r="B45" s="76"/>
      <c r="C45" s="75" t="str">
        <f t="shared" si="10"/>
        <v/>
      </c>
      <c r="D45" s="50"/>
      <c r="E45" s="76"/>
      <c r="F45" s="75" t="str">
        <f t="shared" si="11"/>
        <v/>
      </c>
      <c r="G45" s="50"/>
      <c r="H45" s="76"/>
      <c r="I45" s="75" t="str">
        <f t="shared" si="12"/>
        <v/>
      </c>
      <c r="J45" s="50"/>
      <c r="K45" s="76" t="s">
        <v>543</v>
      </c>
      <c r="L45" s="75">
        <f t="shared" si="13"/>
        <v>1.0968973897986953</v>
      </c>
      <c r="M45" s="50"/>
      <c r="N45" s="76"/>
      <c r="O45" s="75" t="str">
        <f t="shared" si="14"/>
        <v/>
      </c>
    </row>
    <row r="46" spans="2:16">
      <c r="B46" s="76"/>
      <c r="C46" s="75" t="str">
        <f t="shared" si="10"/>
        <v/>
      </c>
      <c r="D46" s="50"/>
      <c r="E46" s="76"/>
      <c r="F46" s="75" t="str">
        <f t="shared" si="11"/>
        <v/>
      </c>
      <c r="G46" s="50"/>
      <c r="H46" s="76"/>
      <c r="I46" s="75" t="str">
        <f t="shared" si="12"/>
        <v/>
      </c>
      <c r="J46" s="50"/>
      <c r="K46" s="76" t="s">
        <v>552</v>
      </c>
      <c r="L46" s="75">
        <f t="shared" si="13"/>
        <v>0.99083618078873104</v>
      </c>
      <c r="M46" s="50"/>
      <c r="N46" s="76"/>
      <c r="O46" s="75" t="str">
        <f t="shared" si="14"/>
        <v/>
      </c>
    </row>
    <row r="47" spans="2:16">
      <c r="B47" s="76"/>
      <c r="C47" s="75" t="str">
        <f t="shared" si="10"/>
        <v/>
      </c>
      <c r="D47" s="50"/>
      <c r="E47" s="76"/>
      <c r="F47" s="75" t="str">
        <f t="shared" si="11"/>
        <v/>
      </c>
      <c r="G47" s="50"/>
      <c r="H47" s="76"/>
      <c r="I47" s="75" t="str">
        <f t="shared" si="12"/>
        <v/>
      </c>
      <c r="J47" s="50"/>
      <c r="K47" s="76"/>
      <c r="L47" s="75" t="str">
        <f t="shared" si="13"/>
        <v/>
      </c>
      <c r="M47" s="50"/>
      <c r="N47" s="76"/>
      <c r="O47" s="75" t="str">
        <f t="shared" si="14"/>
        <v/>
      </c>
    </row>
    <row r="48" spans="2:16">
      <c r="B48" s="76"/>
      <c r="C48" s="75" t="str">
        <f t="shared" si="10"/>
        <v/>
      </c>
      <c r="D48" s="50"/>
      <c r="E48" s="76"/>
      <c r="F48" s="75" t="str">
        <f t="shared" si="11"/>
        <v/>
      </c>
      <c r="G48" s="50"/>
      <c r="H48" s="76"/>
      <c r="I48" s="75" t="str">
        <f t="shared" si="12"/>
        <v/>
      </c>
      <c r="J48" s="50"/>
      <c r="K48" s="76"/>
      <c r="L48" s="75" t="str">
        <f t="shared" si="13"/>
        <v/>
      </c>
      <c r="M48" s="50"/>
      <c r="N48" s="76"/>
      <c r="O48" s="75" t="str">
        <f t="shared" si="14"/>
        <v/>
      </c>
    </row>
    <row r="49" spans="2:16">
      <c r="B49" s="76"/>
      <c r="C49" s="75" t="str">
        <f t="shared" si="10"/>
        <v/>
      </c>
      <c r="D49" s="50"/>
      <c r="E49" s="76"/>
      <c r="F49" s="75" t="str">
        <f t="shared" si="11"/>
        <v/>
      </c>
      <c r="G49" s="50"/>
      <c r="H49" s="76"/>
      <c r="I49" s="75" t="str">
        <f t="shared" si="12"/>
        <v/>
      </c>
      <c r="J49" s="50"/>
      <c r="K49" s="76"/>
      <c r="L49" s="75" t="str">
        <f t="shared" si="13"/>
        <v/>
      </c>
      <c r="M49" s="50"/>
      <c r="N49" s="76"/>
      <c r="O49" s="75" t="str">
        <f t="shared" si="14"/>
        <v/>
      </c>
    </row>
    <row r="50" spans="2:16">
      <c r="B50" s="76"/>
      <c r="C50" s="75" t="str">
        <f t="shared" si="10"/>
        <v/>
      </c>
      <c r="D50" s="50"/>
      <c r="E50" s="76"/>
      <c r="F50" s="75" t="str">
        <f t="shared" si="11"/>
        <v/>
      </c>
      <c r="G50" s="50"/>
      <c r="H50" s="76"/>
      <c r="I50" s="75" t="str">
        <f t="shared" si="12"/>
        <v/>
      </c>
      <c r="J50" s="50"/>
      <c r="K50" s="76"/>
      <c r="L50" s="75" t="str">
        <f t="shared" si="13"/>
        <v/>
      </c>
      <c r="M50" s="50"/>
      <c r="N50" s="76"/>
      <c r="O50" s="75" t="str">
        <f t="shared" si="14"/>
        <v/>
      </c>
    </row>
    <row r="51" spans="2:16" ht="13.5" thickBot="1">
      <c r="B51" s="77"/>
      <c r="C51" s="75" t="str">
        <f t="shared" si="10"/>
        <v/>
      </c>
      <c r="D51" s="50"/>
      <c r="E51" s="77"/>
      <c r="F51" s="75" t="str">
        <f t="shared" si="11"/>
        <v/>
      </c>
      <c r="G51" s="50"/>
      <c r="H51" s="77"/>
      <c r="I51" s="75" t="str">
        <f t="shared" si="12"/>
        <v/>
      </c>
      <c r="J51" s="50"/>
      <c r="K51" s="77"/>
      <c r="L51" s="75" t="str">
        <f t="shared" si="13"/>
        <v/>
      </c>
      <c r="M51" s="50"/>
      <c r="N51" s="77"/>
      <c r="O51" s="75" t="str">
        <f t="shared" si="14"/>
        <v/>
      </c>
    </row>
    <row r="52" spans="2:16">
      <c r="B52" s="51" t="s">
        <v>42</v>
      </c>
      <c r="C52" s="52">
        <f>AVERAGE(C39:C51)</f>
        <v>1.5053148050846494</v>
      </c>
      <c r="D52" s="50"/>
      <c r="E52" s="51" t="s">
        <v>42</v>
      </c>
      <c r="F52" s="52">
        <f>AVERAGE(F39:F51)</f>
        <v>1.1575866254051224</v>
      </c>
      <c r="G52" s="50"/>
      <c r="H52" s="51" t="s">
        <v>42</v>
      </c>
      <c r="I52" s="52">
        <f>AVERAGE(I39:I51)</f>
        <v>1.2012707718071005</v>
      </c>
      <c r="J52" s="50"/>
      <c r="K52" s="51" t="s">
        <v>42</v>
      </c>
      <c r="L52" s="52">
        <f>AVERAGE(L39:L51)</f>
        <v>1.1236138155636044</v>
      </c>
      <c r="M52" s="50"/>
      <c r="N52" s="51" t="s">
        <v>42</v>
      </c>
      <c r="O52" s="52">
        <f>AVERAGE(O39:O51)</f>
        <v>1.1351400081383354</v>
      </c>
    </row>
    <row r="53" spans="2:16" ht="13.5" thickBot="1">
      <c r="B53" s="53" t="s">
        <v>40</v>
      </c>
      <c r="C53" s="54" t="str">
        <f>CONCATENATE(B39,", ",B40)</f>
        <v>Garmin, TomTom</v>
      </c>
      <c r="D53" s="50" t="s">
        <v>327</v>
      </c>
      <c r="E53" s="53" t="s">
        <v>40</v>
      </c>
      <c r="F53" s="54" t="str">
        <f>CONCATENATE(E39,", ",E40,", ",E41,", ",E42)</f>
        <v>Black &amp; Decker, Hitachi, Makita, Toro Company</v>
      </c>
      <c r="G53" s="50" t="s">
        <v>327</v>
      </c>
      <c r="H53" s="53" t="s">
        <v>40</v>
      </c>
      <c r="I53" s="54" t="str">
        <f>CONCATENATE(H39,", ",H40,", ",H41,", ",H42,", ",H43)</f>
        <v>Ingersoll Rand (Club Car), Mattel, Omron Corp., Textron (E-Z-Go), Yamaha</v>
      </c>
      <c r="J53" s="50" t="s">
        <v>327</v>
      </c>
      <c r="K53" s="53" t="s">
        <v>40</v>
      </c>
      <c r="L53" s="54" t="str">
        <f>CONCATENATE(K39,", ",K40,", ",K41,", ",K42,", ",K43,", ",K44,", ",K45,", ",K46)</f>
        <v>Canon, JVC Kenwood Holdings, Kodak, Nikon, Olympus, Panasonic, Samsung, Sony</v>
      </c>
      <c r="M53" s="50" t="s">
        <v>327</v>
      </c>
      <c r="N53" s="53" t="s">
        <v>40</v>
      </c>
      <c r="O53" s="54" t="str">
        <f>CONCATENATE(N39,", ",N40,", ",N41)</f>
        <v>Black &amp; Decker, Electrolux/Eureka, iRobot</v>
      </c>
      <c r="P53" s="29" t="s">
        <v>327</v>
      </c>
    </row>
    <row r="54" spans="2:16">
      <c r="B54" s="55" t="s">
        <v>43</v>
      </c>
      <c r="C54" s="56" t="s">
        <v>420</v>
      </c>
      <c r="D54" s="50"/>
      <c r="E54" s="55" t="s">
        <v>43</v>
      </c>
      <c r="F54" s="56" t="s">
        <v>420</v>
      </c>
      <c r="G54" s="50"/>
      <c r="H54" s="55" t="s">
        <v>43</v>
      </c>
      <c r="I54" s="56" t="s">
        <v>420</v>
      </c>
      <c r="J54" s="50"/>
      <c r="K54" s="55" t="s">
        <v>43</v>
      </c>
      <c r="L54" s="56" t="s">
        <v>420</v>
      </c>
      <c r="M54" s="50"/>
      <c r="N54" s="55" t="s">
        <v>43</v>
      </c>
      <c r="O54" s="56" t="s">
        <v>420</v>
      </c>
    </row>
    <row r="55" spans="2:16">
      <c r="B55" s="74" t="s">
        <v>427</v>
      </c>
      <c r="C55" s="75">
        <f t="shared" ref="C55:C67" si="15">IF(B55="","",VLOOKUP(B55,Markups_Inc,28,FALSE))</f>
        <v>1.2711247874801748</v>
      </c>
      <c r="D55" s="50"/>
      <c r="E55" s="74" t="s">
        <v>427</v>
      </c>
      <c r="F55" s="75">
        <f t="shared" ref="F55:F67" si="16">IF(E55="","",VLOOKUP(E55,Markups_Inc,28,FALSE))</f>
        <v>1.2711247874801748</v>
      </c>
      <c r="G55" s="50"/>
      <c r="H55" s="74" t="s">
        <v>427</v>
      </c>
      <c r="I55" s="75">
        <f t="shared" ref="I55:I67" si="17">IF(H55="","",VLOOKUP(H55,Markups_Inc,28,FALSE))</f>
        <v>1.2711247874801748</v>
      </c>
      <c r="J55" s="50"/>
      <c r="K55" s="74" t="s">
        <v>427</v>
      </c>
      <c r="L55" s="75">
        <f t="shared" ref="L55:L67" si="18">IF(K55="","",VLOOKUP(K55,Markups_Inc,28,FALSE))</f>
        <v>1.2711247874801748</v>
      </c>
      <c r="M55" s="50"/>
      <c r="N55" s="74" t="s">
        <v>427</v>
      </c>
      <c r="O55" s="75">
        <f t="shared" ref="O55:O67" si="19">IF(N55="","",VLOOKUP(N55,Markups_Inc,28,FALSE))</f>
        <v>1.2711247874801748</v>
      </c>
    </row>
    <row r="56" spans="2:16">
      <c r="B56" s="76" t="s">
        <v>458</v>
      </c>
      <c r="C56" s="75">
        <f t="shared" si="15"/>
        <v>1.0678996523265634</v>
      </c>
      <c r="D56" s="50"/>
      <c r="E56" s="76" t="s">
        <v>501</v>
      </c>
      <c r="F56" s="75">
        <f t="shared" si="16"/>
        <v>1.1927078384984811</v>
      </c>
      <c r="G56" s="50"/>
      <c r="H56" s="76" t="s">
        <v>457</v>
      </c>
      <c r="I56" s="75">
        <f t="shared" si="17"/>
        <v>1.3436842071088611</v>
      </c>
      <c r="J56" s="50"/>
      <c r="K56" s="76" t="s">
        <v>458</v>
      </c>
      <c r="L56" s="75">
        <f t="shared" si="18"/>
        <v>1.0678996523265634</v>
      </c>
      <c r="M56" s="50"/>
      <c r="N56" s="76" t="s">
        <v>260</v>
      </c>
      <c r="O56" s="75">
        <f t="shared" si="19"/>
        <v>1.1979454859116963</v>
      </c>
    </row>
    <row r="57" spans="2:16">
      <c r="B57" s="76" t="s">
        <v>468</v>
      </c>
      <c r="C57" s="75">
        <f t="shared" si="15"/>
        <v>1.0303557136102093</v>
      </c>
      <c r="D57" s="50"/>
      <c r="E57" s="76" t="s">
        <v>550</v>
      </c>
      <c r="F57" s="75">
        <f t="shared" si="16"/>
        <v>1.0710659432207055</v>
      </c>
      <c r="G57" s="50"/>
      <c r="H57" s="76" t="s">
        <v>0</v>
      </c>
      <c r="I57" s="75">
        <f t="shared" si="17"/>
        <v>1.1676727688110449</v>
      </c>
      <c r="J57" s="50"/>
      <c r="K57" s="76" t="s">
        <v>468</v>
      </c>
      <c r="L57" s="75">
        <f t="shared" si="18"/>
        <v>1.0303557136102093</v>
      </c>
      <c r="M57" s="50"/>
      <c r="N57" s="76" t="s">
        <v>468</v>
      </c>
      <c r="O57" s="75">
        <f t="shared" si="19"/>
        <v>1.0303557136102093</v>
      </c>
    </row>
    <row r="58" spans="2:16">
      <c r="B58" s="76" t="s">
        <v>536</v>
      </c>
      <c r="C58" s="75">
        <f t="shared" si="15"/>
        <v>1.1728848255403146</v>
      </c>
      <c r="D58" s="50"/>
      <c r="E58" s="76" t="s">
        <v>559</v>
      </c>
      <c r="F58" s="75">
        <f t="shared" si="16"/>
        <v>1.1795273025112403</v>
      </c>
      <c r="G58" s="50"/>
      <c r="H58" s="76" t="s">
        <v>490</v>
      </c>
      <c r="I58" s="75">
        <f t="shared" si="17"/>
        <v>1.1115864216853639</v>
      </c>
      <c r="J58" s="50"/>
      <c r="K58" s="76" t="s">
        <v>522</v>
      </c>
      <c r="L58" s="75">
        <f t="shared" si="18"/>
        <v>1.0990746335611439</v>
      </c>
      <c r="M58" s="50"/>
      <c r="N58" s="76" t="s">
        <v>501</v>
      </c>
      <c r="O58" s="75">
        <f t="shared" si="19"/>
        <v>1.1927078384984811</v>
      </c>
    </row>
    <row r="59" spans="2:16">
      <c r="B59" s="76" t="s">
        <v>550</v>
      </c>
      <c r="C59" s="75">
        <f t="shared" si="15"/>
        <v>1.0710659432207055</v>
      </c>
      <c r="D59" s="50"/>
      <c r="E59" s="76" t="s">
        <v>0</v>
      </c>
      <c r="F59" s="75">
        <f t="shared" si="16"/>
        <v>1.1676727688110449</v>
      </c>
      <c r="G59" s="50"/>
      <c r="H59" s="76" t="s">
        <v>532</v>
      </c>
      <c r="I59" s="75">
        <f t="shared" si="17"/>
        <v>0.9929950358890357</v>
      </c>
      <c r="J59" s="50"/>
      <c r="K59" s="76" t="s">
        <v>536</v>
      </c>
      <c r="L59" s="75">
        <f t="shared" si="18"/>
        <v>1.1728848255403146</v>
      </c>
      <c r="M59" s="50"/>
      <c r="N59" s="76" t="s">
        <v>550</v>
      </c>
      <c r="O59" s="75">
        <f t="shared" si="19"/>
        <v>1.0710659432207055</v>
      </c>
    </row>
    <row r="60" spans="2:16">
      <c r="B60" s="76" t="s">
        <v>555</v>
      </c>
      <c r="C60" s="75">
        <f t="shared" si="15"/>
        <v>1.1076845701494202</v>
      </c>
      <c r="D60" s="50"/>
      <c r="E60" s="76" t="s">
        <v>17</v>
      </c>
      <c r="F60" s="75">
        <f t="shared" si="16"/>
        <v>1.076257525022875</v>
      </c>
      <c r="G60" s="50"/>
      <c r="H60" s="76" t="s">
        <v>536</v>
      </c>
      <c r="I60" s="75">
        <f t="shared" si="17"/>
        <v>1.1728848255403146</v>
      </c>
      <c r="J60" s="50"/>
      <c r="K60" s="76" t="s">
        <v>550</v>
      </c>
      <c r="L60" s="75">
        <f t="shared" si="18"/>
        <v>1.0710659432207055</v>
      </c>
      <c r="M60" s="50"/>
      <c r="N60" s="76" t="s">
        <v>559</v>
      </c>
      <c r="O60" s="75">
        <f t="shared" si="19"/>
        <v>1.1795273025112403</v>
      </c>
    </row>
    <row r="61" spans="2:16">
      <c r="B61" s="76" t="s">
        <v>559</v>
      </c>
      <c r="C61" s="75">
        <f t="shared" si="15"/>
        <v>1.1795273025112403</v>
      </c>
      <c r="D61" s="50"/>
      <c r="E61" s="76"/>
      <c r="F61" s="75" t="str">
        <f t="shared" si="16"/>
        <v/>
      </c>
      <c r="G61" s="50"/>
      <c r="H61" s="76" t="s">
        <v>550</v>
      </c>
      <c r="I61" s="75">
        <f t="shared" si="17"/>
        <v>1.0710659432207055</v>
      </c>
      <c r="J61" s="50"/>
      <c r="K61" s="76" t="s">
        <v>555</v>
      </c>
      <c r="L61" s="75">
        <f t="shared" si="18"/>
        <v>1.1076845701494202</v>
      </c>
      <c r="M61" s="50"/>
      <c r="N61" s="76" t="s">
        <v>0</v>
      </c>
      <c r="O61" s="75">
        <f t="shared" si="19"/>
        <v>1.1676727688110449</v>
      </c>
    </row>
    <row r="62" spans="2:16">
      <c r="B62" s="76" t="s">
        <v>17</v>
      </c>
      <c r="C62" s="75">
        <f t="shared" si="15"/>
        <v>1.076257525022875</v>
      </c>
      <c r="D62" s="50"/>
      <c r="E62" s="76"/>
      <c r="F62" s="75" t="str">
        <f t="shared" si="16"/>
        <v/>
      </c>
      <c r="G62" s="50"/>
      <c r="H62" s="76" t="s">
        <v>561</v>
      </c>
      <c r="I62" s="75">
        <f t="shared" si="17"/>
        <v>1.1791121033991243</v>
      </c>
      <c r="J62" s="50"/>
      <c r="K62" s="76" t="s">
        <v>559</v>
      </c>
      <c r="L62" s="75">
        <f t="shared" si="18"/>
        <v>1.1795273025112403</v>
      </c>
      <c r="M62" s="50"/>
      <c r="N62" s="76" t="s">
        <v>17</v>
      </c>
      <c r="O62" s="75">
        <f t="shared" si="19"/>
        <v>1.076257525022875</v>
      </c>
    </row>
    <row r="63" spans="2:16">
      <c r="B63" s="76"/>
      <c r="C63" s="75" t="str">
        <f t="shared" si="15"/>
        <v/>
      </c>
      <c r="D63" s="50"/>
      <c r="E63" s="76"/>
      <c r="F63" s="75" t="str">
        <f t="shared" si="16"/>
        <v/>
      </c>
      <c r="G63" s="50"/>
      <c r="H63" s="76" t="s">
        <v>21</v>
      </c>
      <c r="I63" s="75">
        <f t="shared" si="17"/>
        <v>1.0716288978430457</v>
      </c>
      <c r="J63" s="50"/>
      <c r="K63" s="76" t="s">
        <v>17</v>
      </c>
      <c r="L63" s="75">
        <f t="shared" si="18"/>
        <v>1.076257525022875</v>
      </c>
      <c r="M63" s="50"/>
      <c r="N63" s="76"/>
      <c r="O63" s="75" t="str">
        <f t="shared" si="19"/>
        <v/>
      </c>
    </row>
    <row r="64" spans="2:16">
      <c r="B64" s="76"/>
      <c r="C64" s="75" t="str">
        <f t="shared" si="15"/>
        <v/>
      </c>
      <c r="D64" s="50"/>
      <c r="E64" s="76"/>
      <c r="F64" s="75" t="str">
        <f t="shared" si="16"/>
        <v/>
      </c>
      <c r="G64" s="50"/>
      <c r="H64" s="76"/>
      <c r="I64" s="75" t="str">
        <f t="shared" si="17"/>
        <v/>
      </c>
      <c r="J64" s="50"/>
      <c r="K64" s="76"/>
      <c r="L64" s="75" t="str">
        <f t="shared" si="18"/>
        <v/>
      </c>
      <c r="M64" s="50"/>
      <c r="N64" s="76"/>
      <c r="O64" s="75" t="str">
        <f t="shared" si="19"/>
        <v/>
      </c>
    </row>
    <row r="65" spans="2:16">
      <c r="B65" s="76"/>
      <c r="C65" s="75" t="str">
        <f t="shared" si="15"/>
        <v/>
      </c>
      <c r="D65" s="50"/>
      <c r="E65" s="76"/>
      <c r="F65" s="75" t="str">
        <f t="shared" si="16"/>
        <v/>
      </c>
      <c r="G65" s="50"/>
      <c r="H65" s="76"/>
      <c r="I65" s="75" t="str">
        <f t="shared" si="17"/>
        <v/>
      </c>
      <c r="J65" s="50"/>
      <c r="K65" s="76"/>
      <c r="L65" s="75" t="str">
        <f t="shared" si="18"/>
        <v/>
      </c>
      <c r="M65" s="50"/>
      <c r="N65" s="76"/>
      <c r="O65" s="75" t="str">
        <f t="shared" si="19"/>
        <v/>
      </c>
    </row>
    <row r="66" spans="2:16">
      <c r="B66" s="76"/>
      <c r="C66" s="75" t="str">
        <f t="shared" si="15"/>
        <v/>
      </c>
      <c r="D66" s="50"/>
      <c r="E66" s="76"/>
      <c r="F66" s="75" t="str">
        <f t="shared" si="16"/>
        <v/>
      </c>
      <c r="G66" s="50"/>
      <c r="H66" s="76"/>
      <c r="I66" s="75" t="str">
        <f t="shared" si="17"/>
        <v/>
      </c>
      <c r="J66" s="50"/>
      <c r="K66" s="76"/>
      <c r="L66" s="75" t="str">
        <f t="shared" si="18"/>
        <v/>
      </c>
      <c r="M66" s="50"/>
      <c r="N66" s="76"/>
      <c r="O66" s="75" t="str">
        <f t="shared" si="19"/>
        <v/>
      </c>
    </row>
    <row r="67" spans="2:16" ht="13.5" thickBot="1">
      <c r="B67" s="77"/>
      <c r="C67" s="75" t="str">
        <f t="shared" si="15"/>
        <v/>
      </c>
      <c r="D67" s="50"/>
      <c r="E67" s="77"/>
      <c r="F67" s="75" t="str">
        <f t="shared" si="16"/>
        <v/>
      </c>
      <c r="G67" s="50"/>
      <c r="H67" s="77"/>
      <c r="I67" s="75" t="str">
        <f t="shared" si="17"/>
        <v/>
      </c>
      <c r="J67" s="50"/>
      <c r="K67" s="77"/>
      <c r="L67" s="75" t="str">
        <f t="shared" si="18"/>
        <v/>
      </c>
      <c r="M67" s="50"/>
      <c r="N67" s="77"/>
      <c r="O67" s="75" t="str">
        <f t="shared" si="19"/>
        <v/>
      </c>
    </row>
    <row r="68" spans="2:16">
      <c r="B68" s="51" t="s">
        <v>42</v>
      </c>
      <c r="C68" s="52">
        <f>AVERAGE(C55:C67)</f>
        <v>1.1221000399826879</v>
      </c>
      <c r="D68" s="50"/>
      <c r="E68" s="51" t="s">
        <v>42</v>
      </c>
      <c r="F68" s="52">
        <f>AVERAGE(F55:F67)</f>
        <v>1.1597260275907535</v>
      </c>
      <c r="G68" s="50"/>
      <c r="H68" s="51" t="s">
        <v>42</v>
      </c>
      <c r="I68" s="52">
        <f>AVERAGE(I55:I67)</f>
        <v>1.1535283323308521</v>
      </c>
      <c r="J68" s="50"/>
      <c r="K68" s="51" t="s">
        <v>42</v>
      </c>
      <c r="L68" s="52">
        <f>AVERAGE(L55:L67)</f>
        <v>1.1195416614914053</v>
      </c>
      <c r="M68" s="50"/>
      <c r="N68" s="51" t="s">
        <v>42</v>
      </c>
      <c r="O68" s="52">
        <f>AVERAGE(O55:O67)</f>
        <v>1.1483321706333034</v>
      </c>
    </row>
    <row r="69" spans="2:16" ht="13.5" thickBot="1">
      <c r="B69" s="53" t="s">
        <v>40</v>
      </c>
      <c r="C69" s="54" t="str">
        <f>CONCATENATE(B55,", ",B56,", ",B57,", ",B58,", ",B59,", ",B60,", ",B61,", ",B62)</f>
        <v>Amazon.com, Best Buy, Costco Wholesale, Radioshack, Sears, Staples, Target, Walmart</v>
      </c>
      <c r="D69" s="50" t="s">
        <v>327</v>
      </c>
      <c r="E69" s="53" t="s">
        <v>40</v>
      </c>
      <c r="F69" s="54" t="str">
        <f>CONCATENATE(E55,", ",E56,", ",E57,", ",E58,", ",E59,", ",E60)</f>
        <v>Amazon.com, Lowe's, Sears, Target, The Home Depot, Walmart</v>
      </c>
      <c r="G69" s="50" t="s">
        <v>327</v>
      </c>
      <c r="H69" s="53" t="s">
        <v>40</v>
      </c>
      <c r="I69" s="54" t="str">
        <f>CONCATENATE(H55,", ",H56,", ",H57,", ",H58,", ",H59,", ",H60,", ",H61,", ",H62,", ",H63)</f>
        <v>Amazon.com, Autozone, The Home Depot, Ingersoll Rand (Club Car), Pep Boys, Radioshack, Sears, Textron (E-Z-Go), Yamaha</v>
      </c>
      <c r="J69" s="50" t="s">
        <v>327</v>
      </c>
      <c r="K69" s="53" t="s">
        <v>40</v>
      </c>
      <c r="L69" s="54" t="str">
        <f>CONCATENATE(K55,", ",K56,", ",K57,", ",K58,", ",K59,", ",K60,", ",K61,", ",K62,", ",K63,", ",K64,", ",K65,", ",K66)</f>
        <v xml:space="preserve">Amazon.com, Best Buy, Costco Wholesale, Office depot, Radioshack, Sears, Staples, Target, Walmart, , , </v>
      </c>
      <c r="M69" s="50" t="s">
        <v>327</v>
      </c>
      <c r="N69" s="53" t="s">
        <v>40</v>
      </c>
      <c r="O69" s="54" t="str">
        <f>CONCATENATE(N55,", ",N56,", ",N57,", ",N58,", ",N59,", ",N60,", ",N61,", ",N62)</f>
        <v>Amazon.com, Bed Bath &amp; Beyond, Costco Wholesale, Lowe's, Sears, Target, The Home Depot, Walmart</v>
      </c>
      <c r="P69" s="29" t="s">
        <v>327</v>
      </c>
    </row>
    <row r="70" spans="2:16" ht="13.5" thickBot="1">
      <c r="B70" s="57" t="s">
        <v>39</v>
      </c>
      <c r="C70" s="58">
        <f>(C52*C68)</f>
        <v>1.6891138029720172</v>
      </c>
      <c r="D70" s="50"/>
      <c r="E70" s="57" t="s">
        <v>39</v>
      </c>
      <c r="F70" s="58">
        <f>(F52*F68)</f>
        <v>1.3424833386732682</v>
      </c>
      <c r="G70" s="50"/>
      <c r="H70" s="57" t="s">
        <v>39</v>
      </c>
      <c r="I70" s="58">
        <f>(I52*I68)</f>
        <v>1.3856998700804402</v>
      </c>
      <c r="J70" s="50"/>
      <c r="K70" s="57" t="s">
        <v>39</v>
      </c>
      <c r="L70" s="58">
        <f>(L52*L68)</f>
        <v>1.2579324779507752</v>
      </c>
      <c r="M70" s="50"/>
      <c r="N70" s="57" t="s">
        <v>39</v>
      </c>
      <c r="O70" s="58">
        <f>(O52*O68)</f>
        <v>1.3035177895182004</v>
      </c>
    </row>
    <row r="71" spans="2:16" ht="13.5" thickBot="1">
      <c r="B71" s="50"/>
      <c r="C71" s="50"/>
      <c r="D71" s="50"/>
      <c r="E71" s="50"/>
      <c r="F71" s="50"/>
      <c r="G71" s="50"/>
      <c r="H71" s="50"/>
      <c r="I71" s="50"/>
      <c r="J71" s="50"/>
      <c r="K71" s="50"/>
      <c r="L71" s="50"/>
      <c r="M71" s="50"/>
      <c r="N71" s="50"/>
      <c r="O71" s="50"/>
    </row>
    <row r="72" spans="2:16" ht="15.75" thickBot="1">
      <c r="B72" s="1201" t="s">
        <v>47</v>
      </c>
      <c r="C72" s="1202"/>
      <c r="D72" s="50"/>
      <c r="E72" s="1201" t="s">
        <v>92</v>
      </c>
      <c r="F72" s="1202"/>
      <c r="G72" s="50"/>
      <c r="H72" s="1201" t="s">
        <v>88</v>
      </c>
      <c r="I72" s="1202"/>
      <c r="J72" s="50"/>
      <c r="K72" s="1201" t="s">
        <v>201</v>
      </c>
      <c r="L72" s="1202"/>
      <c r="M72" s="50"/>
      <c r="N72" s="1201" t="s">
        <v>105</v>
      </c>
      <c r="O72" s="1202"/>
    </row>
    <row r="73" spans="2:16">
      <c r="B73" s="59" t="s">
        <v>35</v>
      </c>
      <c r="C73" s="60" t="s">
        <v>420</v>
      </c>
      <c r="D73" s="50"/>
      <c r="E73" s="59" t="s">
        <v>35</v>
      </c>
      <c r="F73" s="60" t="s">
        <v>420</v>
      </c>
      <c r="G73" s="50"/>
      <c r="H73" s="59" t="s">
        <v>35</v>
      </c>
      <c r="I73" s="60" t="s">
        <v>420</v>
      </c>
      <c r="J73" s="50"/>
      <c r="K73" s="59" t="s">
        <v>35</v>
      </c>
      <c r="L73" s="60" t="s">
        <v>420</v>
      </c>
      <c r="M73" s="50"/>
      <c r="N73" s="55" t="s">
        <v>48</v>
      </c>
      <c r="O73" s="56" t="s">
        <v>420</v>
      </c>
    </row>
    <row r="74" spans="2:16">
      <c r="B74" s="74" t="s">
        <v>515</v>
      </c>
      <c r="C74" s="75">
        <f t="shared" ref="C74:C86" si="20">IF(B74="","",VLOOKUP(B74,Markups_Inc,28,FALSE))</f>
        <v>1.4492478597577925</v>
      </c>
      <c r="D74" s="50"/>
      <c r="E74" s="74" t="s">
        <v>530</v>
      </c>
      <c r="F74" s="75">
        <f t="shared" ref="F74:F86" si="21">IF(E74="","",VLOOKUP(E74,Markups_Inc,28,FALSE))</f>
        <v>1.0553943629205056</v>
      </c>
      <c r="G74" s="50"/>
      <c r="H74" s="74" t="s">
        <v>470</v>
      </c>
      <c r="I74" s="75">
        <f t="shared" ref="I74:I86" si="22">IF(H74="","",VLOOKUP(H74,Markups_Inc,28,FALSE))</f>
        <v>1.5094123699331938</v>
      </c>
      <c r="J74" s="50"/>
      <c r="K74" s="74" t="s">
        <v>482</v>
      </c>
      <c r="L74" s="75">
        <f t="shared" ref="L74:L86" si="23">IF(K74="","",VLOOKUP(K74,Markups_Inc,28,FALSE))</f>
        <v>1.1945931165092734</v>
      </c>
      <c r="M74" s="50"/>
      <c r="N74" s="74" t="s">
        <v>24</v>
      </c>
      <c r="O74" s="75">
        <f t="shared" ref="O74:O86" si="24">IF(N74="","",(VLOOKUP(N74,Distributors_Inc,28,FALSE)))</f>
        <v>1.0534949760836521</v>
      </c>
    </row>
    <row r="75" spans="2:16">
      <c r="B75" s="76" t="s">
        <v>552</v>
      </c>
      <c r="C75" s="75">
        <f t="shared" si="20"/>
        <v>0.99083618078873104</v>
      </c>
      <c r="D75" s="50"/>
      <c r="E75" s="76" t="s">
        <v>533</v>
      </c>
      <c r="F75" s="75">
        <f t="shared" si="21"/>
        <v>1.1498753369497337</v>
      </c>
      <c r="G75" s="50"/>
      <c r="H75" s="76" t="s">
        <v>524</v>
      </c>
      <c r="I75" s="75">
        <f t="shared" si="22"/>
        <v>1.2124491897063565</v>
      </c>
      <c r="J75" s="50"/>
      <c r="K75" s="76" t="s">
        <v>488</v>
      </c>
      <c r="L75" s="75">
        <f t="shared" si="23"/>
        <v>1.1315644061462653</v>
      </c>
      <c r="M75" s="50"/>
      <c r="N75" s="76" t="s">
        <v>25</v>
      </c>
      <c r="O75" s="75">
        <f t="shared" si="24"/>
        <v>1.0442604461553735</v>
      </c>
    </row>
    <row r="76" spans="2:16">
      <c r="B76" s="76" t="s">
        <v>505</v>
      </c>
      <c r="C76" s="75">
        <f t="shared" si="20"/>
        <v>1.4315772464016121</v>
      </c>
      <c r="D76" s="50"/>
      <c r="E76" s="76"/>
      <c r="F76" s="75" t="str">
        <f t="shared" si="21"/>
        <v/>
      </c>
      <c r="G76" s="50"/>
      <c r="H76" s="76" t="s">
        <v>533</v>
      </c>
      <c r="I76" s="75">
        <f t="shared" si="22"/>
        <v>1.1498753369497337</v>
      </c>
      <c r="J76" s="50"/>
      <c r="K76" s="76" t="s">
        <v>509</v>
      </c>
      <c r="L76" s="75">
        <f t="shared" si="23"/>
        <v>0.99566689227328764</v>
      </c>
      <c r="M76" s="50"/>
      <c r="N76" s="76" t="s">
        <v>27</v>
      </c>
      <c r="O76" s="75">
        <f t="shared" si="24"/>
        <v>1.0111719998904392</v>
      </c>
    </row>
    <row r="77" spans="2:16">
      <c r="B77" s="76"/>
      <c r="C77" s="75" t="str">
        <f t="shared" si="20"/>
        <v/>
      </c>
      <c r="D77" s="50"/>
      <c r="E77" s="76"/>
      <c r="F77" s="75" t="str">
        <f t="shared" si="21"/>
        <v/>
      </c>
      <c r="G77" s="50"/>
      <c r="H77" s="76" t="s">
        <v>539</v>
      </c>
      <c r="I77" s="75">
        <f t="shared" si="22"/>
        <v>1.7085402062080899</v>
      </c>
      <c r="J77" s="50"/>
      <c r="K77" s="76" t="s">
        <v>4</v>
      </c>
      <c r="L77" s="75">
        <f t="shared" si="23"/>
        <v>1.154096639631575</v>
      </c>
      <c r="M77" s="50"/>
      <c r="N77" s="76" t="s">
        <v>28</v>
      </c>
      <c r="O77" s="75">
        <f t="shared" si="24"/>
        <v>1.0162584742062919</v>
      </c>
    </row>
    <row r="78" spans="2:16">
      <c r="B78" s="76"/>
      <c r="C78" s="75" t="str">
        <f t="shared" si="20"/>
        <v/>
      </c>
      <c r="D78" s="50"/>
      <c r="E78" s="76"/>
      <c r="F78" s="75" t="str">
        <f t="shared" si="21"/>
        <v/>
      </c>
      <c r="G78" s="50"/>
      <c r="H78" s="76"/>
      <c r="I78" s="75" t="str">
        <f t="shared" si="22"/>
        <v/>
      </c>
      <c r="J78" s="50"/>
      <c r="K78" s="76" t="s">
        <v>19</v>
      </c>
      <c r="L78" s="75">
        <f t="shared" si="23"/>
        <v>1.0577089155602646</v>
      </c>
      <c r="M78" s="50"/>
      <c r="N78" s="76"/>
      <c r="O78" s="75" t="str">
        <f t="shared" si="24"/>
        <v/>
      </c>
    </row>
    <row r="79" spans="2:16">
      <c r="B79" s="76"/>
      <c r="C79" s="75" t="str">
        <f t="shared" si="20"/>
        <v/>
      </c>
      <c r="D79" s="50"/>
      <c r="E79" s="76"/>
      <c r="F79" s="75" t="str">
        <f t="shared" si="21"/>
        <v/>
      </c>
      <c r="G79" s="50"/>
      <c r="H79" s="76"/>
      <c r="I79" s="75" t="str">
        <f t="shared" si="22"/>
        <v/>
      </c>
      <c r="J79" s="50"/>
      <c r="K79" s="76"/>
      <c r="L79" s="75" t="str">
        <f t="shared" si="23"/>
        <v/>
      </c>
      <c r="M79" s="50"/>
      <c r="N79" s="76"/>
      <c r="O79" s="75" t="str">
        <f t="shared" si="24"/>
        <v/>
      </c>
    </row>
    <row r="80" spans="2:16">
      <c r="B80" s="76"/>
      <c r="C80" s="75" t="str">
        <f t="shared" si="20"/>
        <v/>
      </c>
      <c r="D80" s="50"/>
      <c r="E80" s="76"/>
      <c r="F80" s="75" t="str">
        <f t="shared" si="21"/>
        <v/>
      </c>
      <c r="G80" s="50"/>
      <c r="H80" s="76"/>
      <c r="I80" s="75" t="str">
        <f t="shared" si="22"/>
        <v/>
      </c>
      <c r="J80" s="50"/>
      <c r="K80" s="76"/>
      <c r="L80" s="75" t="str">
        <f t="shared" si="23"/>
        <v/>
      </c>
      <c r="M80" s="50"/>
      <c r="N80" s="76"/>
      <c r="O80" s="75" t="str">
        <f t="shared" si="24"/>
        <v/>
      </c>
    </row>
    <row r="81" spans="2:16">
      <c r="B81" s="76"/>
      <c r="C81" s="75" t="str">
        <f t="shared" si="20"/>
        <v/>
      </c>
      <c r="D81" s="50"/>
      <c r="E81" s="76"/>
      <c r="F81" s="75" t="str">
        <f t="shared" si="21"/>
        <v/>
      </c>
      <c r="G81" s="50"/>
      <c r="H81" s="76"/>
      <c r="I81" s="75" t="str">
        <f t="shared" si="22"/>
        <v/>
      </c>
      <c r="J81" s="50"/>
      <c r="K81" s="76"/>
      <c r="L81" s="75" t="str">
        <f t="shared" si="23"/>
        <v/>
      </c>
      <c r="M81" s="50"/>
      <c r="N81" s="76"/>
      <c r="O81" s="75" t="str">
        <f t="shared" si="24"/>
        <v/>
      </c>
    </row>
    <row r="82" spans="2:16">
      <c r="B82" s="76"/>
      <c r="C82" s="75" t="str">
        <f t="shared" si="20"/>
        <v/>
      </c>
      <c r="D82" s="50"/>
      <c r="E82" s="76"/>
      <c r="F82" s="75" t="str">
        <f t="shared" si="21"/>
        <v/>
      </c>
      <c r="G82" s="50"/>
      <c r="H82" s="76"/>
      <c r="I82" s="75" t="str">
        <f t="shared" si="22"/>
        <v/>
      </c>
      <c r="J82" s="50"/>
      <c r="K82" s="76"/>
      <c r="L82" s="75" t="str">
        <f t="shared" si="23"/>
        <v/>
      </c>
      <c r="M82" s="50"/>
      <c r="N82" s="76"/>
      <c r="O82" s="75" t="str">
        <f t="shared" si="24"/>
        <v/>
      </c>
    </row>
    <row r="83" spans="2:16">
      <c r="B83" s="76"/>
      <c r="C83" s="75" t="str">
        <f t="shared" si="20"/>
        <v/>
      </c>
      <c r="D83" s="50"/>
      <c r="E83" s="76"/>
      <c r="F83" s="75" t="str">
        <f t="shared" si="21"/>
        <v/>
      </c>
      <c r="G83" s="50"/>
      <c r="H83" s="76"/>
      <c r="I83" s="75" t="str">
        <f t="shared" si="22"/>
        <v/>
      </c>
      <c r="J83" s="50"/>
      <c r="K83" s="76"/>
      <c r="L83" s="75" t="str">
        <f t="shared" si="23"/>
        <v/>
      </c>
      <c r="M83" s="50"/>
      <c r="N83" s="76"/>
      <c r="O83" s="75" t="str">
        <f t="shared" si="24"/>
        <v/>
      </c>
    </row>
    <row r="84" spans="2:16">
      <c r="B84" s="76"/>
      <c r="C84" s="75" t="str">
        <f t="shared" si="20"/>
        <v/>
      </c>
      <c r="D84" s="50"/>
      <c r="E84" s="76"/>
      <c r="F84" s="75" t="str">
        <f t="shared" si="21"/>
        <v/>
      </c>
      <c r="G84" s="50"/>
      <c r="H84" s="76"/>
      <c r="I84" s="75" t="str">
        <f t="shared" si="22"/>
        <v/>
      </c>
      <c r="J84" s="50"/>
      <c r="K84" s="76"/>
      <c r="L84" s="75" t="str">
        <f t="shared" si="23"/>
        <v/>
      </c>
      <c r="M84" s="50"/>
      <c r="N84" s="76"/>
      <c r="O84" s="75" t="str">
        <f t="shared" si="24"/>
        <v/>
      </c>
    </row>
    <row r="85" spans="2:16">
      <c r="B85" s="76"/>
      <c r="C85" s="75" t="str">
        <f t="shared" si="20"/>
        <v/>
      </c>
      <c r="D85" s="50"/>
      <c r="E85" s="76"/>
      <c r="F85" s="75" t="str">
        <f t="shared" si="21"/>
        <v/>
      </c>
      <c r="G85" s="50"/>
      <c r="H85" s="76"/>
      <c r="I85" s="75" t="str">
        <f t="shared" si="22"/>
        <v/>
      </c>
      <c r="J85" s="50"/>
      <c r="K85" s="76"/>
      <c r="L85" s="75" t="str">
        <f t="shared" si="23"/>
        <v/>
      </c>
      <c r="M85" s="50"/>
      <c r="N85" s="76"/>
      <c r="O85" s="75" t="str">
        <f t="shared" si="24"/>
        <v/>
      </c>
    </row>
    <row r="86" spans="2:16" ht="13.5" thickBot="1">
      <c r="B86" s="77"/>
      <c r="C86" s="75" t="str">
        <f t="shared" si="20"/>
        <v/>
      </c>
      <c r="D86" s="50"/>
      <c r="E86" s="77"/>
      <c r="F86" s="75" t="str">
        <f t="shared" si="21"/>
        <v/>
      </c>
      <c r="G86" s="50"/>
      <c r="H86" s="77"/>
      <c r="I86" s="75" t="str">
        <f t="shared" si="22"/>
        <v/>
      </c>
      <c r="J86" s="50"/>
      <c r="K86" s="77"/>
      <c r="L86" s="75" t="str">
        <f t="shared" si="23"/>
        <v/>
      </c>
      <c r="M86" s="50"/>
      <c r="N86" s="77"/>
      <c r="O86" s="75" t="str">
        <f t="shared" si="24"/>
        <v/>
      </c>
    </row>
    <row r="87" spans="2:16">
      <c r="B87" s="51" t="s">
        <v>42</v>
      </c>
      <c r="C87" s="52">
        <f>AVERAGE(C74:C86)</f>
        <v>1.2905537623160452</v>
      </c>
      <c r="D87" s="50"/>
      <c r="E87" s="51" t="s">
        <v>42</v>
      </c>
      <c r="F87" s="52">
        <f>AVERAGE(F74:F86)</f>
        <v>1.1026348499351197</v>
      </c>
      <c r="G87" s="50"/>
      <c r="H87" s="51" t="s">
        <v>42</v>
      </c>
      <c r="I87" s="52">
        <f>AVERAGE(I74:I86)</f>
        <v>1.3950692756993435</v>
      </c>
      <c r="J87" s="50"/>
      <c r="K87" s="51" t="s">
        <v>42</v>
      </c>
      <c r="L87" s="52">
        <f>AVERAGE(L74:L86)</f>
        <v>1.1067259940241332</v>
      </c>
      <c r="M87" s="50"/>
      <c r="N87" s="51" t="s">
        <v>42</v>
      </c>
      <c r="O87" s="52">
        <f>AVERAGE(O74:O86)</f>
        <v>1.031296474083939</v>
      </c>
    </row>
    <row r="88" spans="2:16" ht="13.5" thickBot="1">
      <c r="B88" s="53" t="s">
        <v>40</v>
      </c>
      <c r="C88" s="54" t="str">
        <f>CONCATENATE(B74,", ",B75,", ",B76)</f>
        <v>Nintendo, Sony, Mattel</v>
      </c>
      <c r="D88" s="50" t="s">
        <v>327</v>
      </c>
      <c r="E88" s="53" t="s">
        <v>40</v>
      </c>
      <c r="F88" s="54" t="str">
        <f>CONCATENATE(E74,", ",E75)</f>
        <v>Panasonic, Philips</v>
      </c>
      <c r="G88" s="50" t="s">
        <v>327</v>
      </c>
      <c r="H88" s="53" t="s">
        <v>40</v>
      </c>
      <c r="I88" s="54" t="str">
        <f>CONCATENATE(H74,", ",H75,", ",H76,", ",H77)</f>
        <v>Covidien, Omron Corp., Philips, Resmed</v>
      </c>
      <c r="J88" s="50" t="s">
        <v>327</v>
      </c>
      <c r="K88" s="53" t="s">
        <v>40</v>
      </c>
      <c r="L88" s="54" t="str">
        <f>CONCATENATE(K74,", ",K75,", ",K76,", ",K77,", ",K78)</f>
        <v>General Electric, Honeywell, Napco Security, Toro Company, Whirlpool</v>
      </c>
      <c r="M88" s="50" t="s">
        <v>327</v>
      </c>
      <c r="N88" s="53" t="s">
        <v>40</v>
      </c>
      <c r="O88" s="54" t="str">
        <f>CONCATENATE(N74,", ",N75,", ",N76,", ",N77)</f>
        <v>Arrow Electronics, Avnet, Bell Microproducts, Nu Horizons</v>
      </c>
      <c r="P88" s="29" t="s">
        <v>327</v>
      </c>
    </row>
    <row r="89" spans="2:16">
      <c r="B89" s="55" t="s">
        <v>43</v>
      </c>
      <c r="C89" s="56" t="s">
        <v>420</v>
      </c>
      <c r="D89" s="50"/>
      <c r="E89" s="55" t="s">
        <v>43</v>
      </c>
      <c r="F89" s="56" t="s">
        <v>420</v>
      </c>
      <c r="G89" s="50"/>
      <c r="H89" s="55" t="s">
        <v>48</v>
      </c>
      <c r="I89" s="56" t="s">
        <v>420</v>
      </c>
      <c r="J89" s="50"/>
      <c r="K89" s="55" t="s">
        <v>43</v>
      </c>
      <c r="L89" s="56" t="s">
        <v>420</v>
      </c>
      <c r="M89" s="50"/>
      <c r="N89" s="55" t="s">
        <v>43</v>
      </c>
      <c r="O89" s="56" t="s">
        <v>420</v>
      </c>
    </row>
    <row r="90" spans="2:16">
      <c r="B90" s="74" t="s">
        <v>427</v>
      </c>
      <c r="C90" s="75">
        <f t="shared" ref="C90:C102" si="25">IF(B90="","",VLOOKUP(B90,Markups_Inc,28,FALSE))</f>
        <v>1.2711247874801748</v>
      </c>
      <c r="D90" s="50"/>
      <c r="E90" s="74" t="s">
        <v>427</v>
      </c>
      <c r="F90" s="75">
        <f t="shared" ref="F90:F102" si="26">IF(E90="","",VLOOKUP(E90,Markups_Inc,28,FALSE))</f>
        <v>1.2711247874801748</v>
      </c>
      <c r="G90" s="50"/>
      <c r="H90" s="74" t="s">
        <v>484</v>
      </c>
      <c r="I90" s="75">
        <f t="shared" ref="I90:I102" si="27">IF(H90="","",VLOOKUP(H90,Markups_Inc,28,FALSE))</f>
        <v>1.0921510575481415</v>
      </c>
      <c r="J90" s="50"/>
      <c r="K90" s="74" t="s">
        <v>427</v>
      </c>
      <c r="L90" s="75">
        <f t="shared" ref="L90:L102" si="28">IF(K90="","",VLOOKUP(K90,Markups_Inc,28,FALSE))</f>
        <v>1.2711247874801748</v>
      </c>
      <c r="M90" s="50"/>
      <c r="N90" s="74" t="s">
        <v>49</v>
      </c>
      <c r="O90" s="75">
        <f>I111</f>
        <v>1.1256306573136345</v>
      </c>
    </row>
    <row r="91" spans="2:16">
      <c r="B91" s="76" t="s">
        <v>458</v>
      </c>
      <c r="C91" s="75">
        <f t="shared" si="25"/>
        <v>1.0678996523265634</v>
      </c>
      <c r="D91" s="50"/>
      <c r="E91" s="76" t="s">
        <v>260</v>
      </c>
      <c r="F91" s="75">
        <f t="shared" si="26"/>
        <v>1.1979454859116963</v>
      </c>
      <c r="G91" s="50"/>
      <c r="H91" s="76" t="s">
        <v>526</v>
      </c>
      <c r="I91" s="75">
        <f t="shared" si="27"/>
        <v>1.0269539105925709</v>
      </c>
      <c r="J91" s="50"/>
      <c r="K91" s="76" t="s">
        <v>462</v>
      </c>
      <c r="L91" s="75">
        <f t="shared" si="28"/>
        <v>1.2727551058266335</v>
      </c>
      <c r="M91" s="50"/>
      <c r="N91" s="76"/>
      <c r="O91" s="75"/>
    </row>
    <row r="92" spans="2:16">
      <c r="B92" s="76" t="s">
        <v>468</v>
      </c>
      <c r="C92" s="75">
        <f t="shared" si="25"/>
        <v>1.0303557136102093</v>
      </c>
      <c r="D92" s="50"/>
      <c r="E92" s="76" t="s">
        <v>468</v>
      </c>
      <c r="F92" s="75">
        <f t="shared" si="26"/>
        <v>1.0303557136102093</v>
      </c>
      <c r="G92" s="50"/>
      <c r="H92" s="76" t="s">
        <v>534</v>
      </c>
      <c r="I92" s="75">
        <f t="shared" si="27"/>
        <v>1.0701788172922386</v>
      </c>
      <c r="J92" s="50"/>
      <c r="K92" s="76" t="s">
        <v>0</v>
      </c>
      <c r="L92" s="75">
        <f t="shared" si="28"/>
        <v>1.1676727688110449</v>
      </c>
      <c r="M92" s="50"/>
      <c r="N92" s="76"/>
      <c r="O92" s="75"/>
    </row>
    <row r="93" spans="2:16">
      <c r="B93" s="76" t="s">
        <v>478</v>
      </c>
      <c r="C93" s="75">
        <f t="shared" si="25"/>
        <v>1.121041456759075</v>
      </c>
      <c r="D93" s="50"/>
      <c r="E93" s="76" t="s">
        <v>472</v>
      </c>
      <c r="F93" s="75">
        <f t="shared" si="26"/>
        <v>1.0810339737222261</v>
      </c>
      <c r="G93" s="50"/>
      <c r="H93" s="76"/>
      <c r="I93" s="75" t="str">
        <f t="shared" si="27"/>
        <v/>
      </c>
      <c r="J93" s="50"/>
      <c r="K93" s="76" t="s">
        <v>501</v>
      </c>
      <c r="L93" s="75">
        <f t="shared" si="28"/>
        <v>1.1927078384984811</v>
      </c>
      <c r="M93" s="50"/>
      <c r="N93" s="76"/>
      <c r="O93" s="75"/>
    </row>
    <row r="94" spans="2:16">
      <c r="B94" s="76" t="s">
        <v>536</v>
      </c>
      <c r="C94" s="75">
        <f t="shared" si="25"/>
        <v>1.1728848255403146</v>
      </c>
      <c r="D94" s="50"/>
      <c r="E94" s="76" t="s">
        <v>541</v>
      </c>
      <c r="F94" s="75">
        <f t="shared" si="26"/>
        <v>1.0151723468566372</v>
      </c>
      <c r="G94" s="50"/>
      <c r="H94" s="76"/>
      <c r="I94" s="75" t="str">
        <f t="shared" si="27"/>
        <v/>
      </c>
      <c r="J94" s="50"/>
      <c r="K94" s="76" t="s">
        <v>9</v>
      </c>
      <c r="L94" s="75">
        <f t="shared" si="28"/>
        <v>1.1385961662083697</v>
      </c>
      <c r="M94" s="50"/>
      <c r="N94" s="76"/>
      <c r="O94" s="75"/>
    </row>
    <row r="95" spans="2:16">
      <c r="B95" s="76" t="s">
        <v>550</v>
      </c>
      <c r="C95" s="75">
        <f t="shared" si="25"/>
        <v>1.0710659432207055</v>
      </c>
      <c r="D95" s="50"/>
      <c r="E95" s="76" t="s">
        <v>550</v>
      </c>
      <c r="F95" s="75">
        <f t="shared" si="26"/>
        <v>1.0710659432207055</v>
      </c>
      <c r="G95" s="50"/>
      <c r="H95" s="76"/>
      <c r="I95" s="75" t="str">
        <f t="shared" si="27"/>
        <v/>
      </c>
      <c r="J95" s="50"/>
      <c r="K95" s="76"/>
      <c r="L95" s="75" t="str">
        <f t="shared" si="28"/>
        <v/>
      </c>
      <c r="M95" s="50"/>
      <c r="N95" s="76"/>
      <c r="O95" s="75"/>
    </row>
    <row r="96" spans="2:16">
      <c r="B96" s="76" t="s">
        <v>559</v>
      </c>
      <c r="C96" s="75">
        <f t="shared" si="25"/>
        <v>1.1795273025112403</v>
      </c>
      <c r="D96" s="50"/>
      <c r="E96" s="76" t="s">
        <v>559</v>
      </c>
      <c r="F96" s="75">
        <f t="shared" si="26"/>
        <v>1.1795273025112403</v>
      </c>
      <c r="G96" s="50"/>
      <c r="H96" s="76"/>
      <c r="I96" s="75" t="str">
        <f t="shared" si="27"/>
        <v/>
      </c>
      <c r="J96" s="50"/>
      <c r="K96" s="76"/>
      <c r="L96" s="75" t="str">
        <f t="shared" si="28"/>
        <v/>
      </c>
      <c r="M96" s="50"/>
      <c r="N96" s="76"/>
      <c r="O96" s="75"/>
    </row>
    <row r="97" spans="2:16">
      <c r="B97" s="76" t="s">
        <v>7</v>
      </c>
      <c r="C97" s="75">
        <f t="shared" si="25"/>
        <v>1.1054003241130737</v>
      </c>
      <c r="D97" s="50"/>
      <c r="E97" s="76" t="s">
        <v>15</v>
      </c>
      <c r="F97" s="75">
        <f t="shared" si="26"/>
        <v>1.0782271229564504</v>
      </c>
      <c r="G97" s="50"/>
      <c r="H97" s="76"/>
      <c r="I97" s="75" t="str">
        <f t="shared" si="27"/>
        <v/>
      </c>
      <c r="J97" s="50"/>
      <c r="K97" s="76"/>
      <c r="L97" s="75" t="str">
        <f t="shared" si="28"/>
        <v/>
      </c>
      <c r="M97" s="50"/>
      <c r="N97" s="76"/>
      <c r="O97" s="75"/>
    </row>
    <row r="98" spans="2:16">
      <c r="B98" s="76" t="s">
        <v>17</v>
      </c>
      <c r="C98" s="75">
        <f t="shared" si="25"/>
        <v>1.076257525022875</v>
      </c>
      <c r="D98" s="50"/>
      <c r="E98" s="76" t="s">
        <v>17</v>
      </c>
      <c r="F98" s="75">
        <f t="shared" si="26"/>
        <v>1.076257525022875</v>
      </c>
      <c r="G98" s="50"/>
      <c r="H98" s="76"/>
      <c r="I98" s="75" t="str">
        <f t="shared" si="27"/>
        <v/>
      </c>
      <c r="J98" s="50"/>
      <c r="K98" s="76"/>
      <c r="L98" s="75" t="str">
        <f t="shared" si="28"/>
        <v/>
      </c>
      <c r="M98" s="50"/>
      <c r="N98" s="76"/>
      <c r="O98" s="75"/>
    </row>
    <row r="99" spans="2:16">
      <c r="B99" s="76"/>
      <c r="C99" s="75" t="str">
        <f t="shared" si="25"/>
        <v/>
      </c>
      <c r="D99" s="50"/>
      <c r="E99" s="76"/>
      <c r="F99" s="75" t="str">
        <f t="shared" si="26"/>
        <v/>
      </c>
      <c r="G99" s="50"/>
      <c r="H99" s="76"/>
      <c r="I99" s="75" t="str">
        <f t="shared" si="27"/>
        <v/>
      </c>
      <c r="J99" s="50"/>
      <c r="K99" s="76"/>
      <c r="L99" s="75" t="str">
        <f t="shared" si="28"/>
        <v/>
      </c>
      <c r="M99" s="50"/>
      <c r="N99" s="76"/>
      <c r="O99" s="75"/>
    </row>
    <row r="100" spans="2:16">
      <c r="B100" s="76"/>
      <c r="C100" s="75" t="str">
        <f t="shared" si="25"/>
        <v/>
      </c>
      <c r="D100" s="50"/>
      <c r="E100" s="76"/>
      <c r="F100" s="75" t="str">
        <f t="shared" si="26"/>
        <v/>
      </c>
      <c r="G100" s="50"/>
      <c r="H100" s="76"/>
      <c r="I100" s="75" t="str">
        <f t="shared" si="27"/>
        <v/>
      </c>
      <c r="J100" s="50"/>
      <c r="K100" s="76"/>
      <c r="L100" s="75" t="str">
        <f t="shared" si="28"/>
        <v/>
      </c>
      <c r="M100" s="50"/>
      <c r="N100" s="76"/>
      <c r="O100" s="75"/>
    </row>
    <row r="101" spans="2:16">
      <c r="B101" s="76"/>
      <c r="C101" s="75" t="str">
        <f t="shared" si="25"/>
        <v/>
      </c>
      <c r="D101" s="50"/>
      <c r="E101" s="76"/>
      <c r="F101" s="75" t="str">
        <f t="shared" si="26"/>
        <v/>
      </c>
      <c r="G101" s="50"/>
      <c r="H101" s="76"/>
      <c r="I101" s="75" t="str">
        <f t="shared" si="27"/>
        <v/>
      </c>
      <c r="J101" s="50"/>
      <c r="K101" s="76"/>
      <c r="L101" s="75" t="str">
        <f t="shared" si="28"/>
        <v/>
      </c>
      <c r="M101" s="50"/>
      <c r="N101" s="76"/>
      <c r="O101" s="75"/>
    </row>
    <row r="102" spans="2:16" ht="13.5" thickBot="1">
      <c r="B102" s="77"/>
      <c r="C102" s="75" t="str">
        <f t="shared" si="25"/>
        <v/>
      </c>
      <c r="D102" s="50"/>
      <c r="E102" s="77"/>
      <c r="F102" s="75" t="str">
        <f t="shared" si="26"/>
        <v/>
      </c>
      <c r="G102" s="50"/>
      <c r="H102" s="77"/>
      <c r="I102" s="75" t="str">
        <f t="shared" si="27"/>
        <v/>
      </c>
      <c r="J102" s="50"/>
      <c r="K102" s="77"/>
      <c r="L102" s="75" t="str">
        <f t="shared" si="28"/>
        <v/>
      </c>
      <c r="M102" s="50"/>
      <c r="N102" s="77"/>
      <c r="O102" s="78"/>
    </row>
    <row r="103" spans="2:16">
      <c r="B103" s="51" t="s">
        <v>42</v>
      </c>
      <c r="C103" s="52">
        <f>AVERAGE(C90:C102)</f>
        <v>1.121728614509359</v>
      </c>
      <c r="D103" s="50"/>
      <c r="E103" s="51" t="s">
        <v>42</v>
      </c>
      <c r="F103" s="52">
        <f>AVERAGE(F90:F102)</f>
        <v>1.1111900223658016</v>
      </c>
      <c r="G103" s="50"/>
      <c r="H103" s="51" t="s">
        <v>42</v>
      </c>
      <c r="I103" s="52">
        <f>AVERAGE(I90:I102)</f>
        <v>1.0630945951443171</v>
      </c>
      <c r="J103" s="50"/>
      <c r="K103" s="51" t="s">
        <v>42</v>
      </c>
      <c r="L103" s="52">
        <f>AVERAGE(L90:L102)</f>
        <v>1.2085713333649406</v>
      </c>
      <c r="M103" s="50"/>
      <c r="N103" s="51" t="s">
        <v>42</v>
      </c>
      <c r="O103" s="52">
        <f>AVERAGE(O90:O102)</f>
        <v>1.1256306573136345</v>
      </c>
    </row>
    <row r="104" spans="2:16" ht="13.5" thickBot="1">
      <c r="B104" s="53" t="s">
        <v>40</v>
      </c>
      <c r="C104" s="54" t="str">
        <f>CONCATENATE(B90,", ",B91,", ",B92,", ",B93,", ",B94,", ",B95,", ",B96,", ",B97,", ",B98)</f>
        <v>Amazon.com, Best Buy, Costco Wholesale, GameStop, Radioshack, Sears, Target, Toys "R" Us, Walmart</v>
      </c>
      <c r="D104" s="50" t="s">
        <v>327</v>
      </c>
      <c r="E104" s="53" t="s">
        <v>40</v>
      </c>
      <c r="F104" s="54" t="str">
        <f>CONCATENATE(E90,", ",E91,", ",E92,", ",E93,", ",E94,", ",E95,", ",E96,", ",E97,", ",E98)</f>
        <v>Amazon.com, Bed Bath &amp; Beyond, Costco Wholesale, CVS, RiteAid, Sears, Target, Walgreens, Walmart</v>
      </c>
      <c r="G104" s="50" t="s">
        <v>327</v>
      </c>
      <c r="H104" s="53" t="s">
        <v>40</v>
      </c>
      <c r="I104" s="54" t="str">
        <f>CONCATENATE(H90,", ",H91,", ",H92)</f>
        <v>Henry Schein, Owens &amp; Minor, PSS World Medical</v>
      </c>
      <c r="J104" s="50" t="s">
        <v>327</v>
      </c>
      <c r="K104" s="53" t="s">
        <v>40</v>
      </c>
      <c r="L104" s="54" t="str">
        <f>CONCATENATE(K90,", ",K91,", ",K92,", ",K93,", ",K94)</f>
        <v>Amazon.com, Broadview Security, The Home Depot, Lowe's, Tyco International (ADT)</v>
      </c>
      <c r="M104" s="50" t="s">
        <v>327</v>
      </c>
      <c r="N104" s="53" t="s">
        <v>40</v>
      </c>
      <c r="O104" s="54" t="str">
        <f>CONCATENATE(N90)</f>
        <v>Average Retailer MU*</v>
      </c>
      <c r="P104" s="29" t="s">
        <v>327</v>
      </c>
    </row>
    <row r="105" spans="2:16" ht="13.5" thickBot="1">
      <c r="B105" s="57" t="s">
        <v>39</v>
      </c>
      <c r="C105" s="58">
        <f>(C87*C103)</f>
        <v>1.447651083752618</v>
      </c>
      <c r="D105" s="50"/>
      <c r="E105" s="57" t="s">
        <v>39</v>
      </c>
      <c r="F105" s="58">
        <f>(F87*F103)</f>
        <v>1.2252368435607179</v>
      </c>
      <c r="G105" s="50"/>
      <c r="H105" s="57" t="s">
        <v>39</v>
      </c>
      <c r="I105" s="58">
        <f>(I87*I103)</f>
        <v>1.4830906068478693</v>
      </c>
      <c r="J105" s="50"/>
      <c r="K105" s="57" t="s">
        <v>39</v>
      </c>
      <c r="L105" s="58">
        <f>(L87*L103)</f>
        <v>1.3375573102673859</v>
      </c>
      <c r="M105" s="50"/>
      <c r="N105" s="57" t="s">
        <v>39</v>
      </c>
      <c r="O105" s="58">
        <f>(O87*O103)</f>
        <v>1.1608589280083379</v>
      </c>
    </row>
    <row r="106" spans="2:16" ht="13.5" thickBot="1">
      <c r="B106" s="50"/>
      <c r="C106" s="50"/>
      <c r="D106" s="50"/>
      <c r="E106" s="50"/>
      <c r="F106" s="50"/>
      <c r="G106" s="50"/>
      <c r="H106" s="50"/>
      <c r="I106" s="50"/>
      <c r="J106" s="50"/>
      <c r="K106" s="50"/>
      <c r="L106" s="50"/>
      <c r="M106" s="50"/>
      <c r="N106" s="73" t="s">
        <v>546</v>
      </c>
      <c r="O106" s="50"/>
    </row>
    <row r="107" spans="2:16" ht="15">
      <c r="B107" s="1201" t="s">
        <v>50</v>
      </c>
      <c r="C107" s="1202"/>
      <c r="D107" s="50"/>
      <c r="E107" s="1201" t="s">
        <v>51</v>
      </c>
      <c r="F107" s="1202"/>
      <c r="G107" s="50"/>
      <c r="H107" s="1201" t="s">
        <v>52</v>
      </c>
      <c r="I107" s="1202"/>
      <c r="J107" s="50"/>
      <c r="M107" s="50"/>
      <c r="O107" s="50"/>
    </row>
    <row r="108" spans="2:16">
      <c r="B108" s="59" t="s">
        <v>35</v>
      </c>
      <c r="C108" s="60" t="s">
        <v>420</v>
      </c>
      <c r="D108" s="50"/>
      <c r="E108" s="59" t="s">
        <v>48</v>
      </c>
      <c r="F108" s="60" t="s">
        <v>420</v>
      </c>
      <c r="G108" s="50"/>
      <c r="H108" s="59" t="s">
        <v>35</v>
      </c>
      <c r="I108" s="60" t="s">
        <v>420</v>
      </c>
      <c r="J108" s="50"/>
      <c r="M108" s="50"/>
      <c r="N108" s="50"/>
      <c r="O108" s="50"/>
    </row>
    <row r="109" spans="2:16" ht="13.5" thickBot="1">
      <c r="B109" s="74" t="s">
        <v>482</v>
      </c>
      <c r="C109" s="75">
        <f t="shared" ref="C109:C121" si="29">IF(B109="","",VLOOKUP(B109,Markups_Inc,28,FALSE))</f>
        <v>1.1945931165092734</v>
      </c>
      <c r="D109" s="50"/>
      <c r="E109" s="74" t="s">
        <v>24</v>
      </c>
      <c r="F109" s="75">
        <f t="shared" ref="F109:F121" si="30">IF(E109="","",(VLOOKUP(E109,Distributors_Inc,28,FALSE)))</f>
        <v>1.0534949760836521</v>
      </c>
      <c r="G109" s="50"/>
      <c r="H109" s="61" t="s">
        <v>53</v>
      </c>
      <c r="I109" s="49">
        <f>SUMIF('6. Markup Source Info'!AF2:AF78,"yes",'6. Markup Source Info'!AB2:AB78)/COUNTIF('6. Markup Source Info'!AF2:AF78,"yes")</f>
        <v>1.1845420077032336</v>
      </c>
      <c r="J109" s="50"/>
      <c r="M109" s="50"/>
      <c r="N109" s="50"/>
      <c r="O109" s="50"/>
    </row>
    <row r="110" spans="2:16">
      <c r="B110" s="76" t="s">
        <v>521</v>
      </c>
      <c r="C110" s="75">
        <f t="shared" si="29"/>
        <v>1.0701416723337767</v>
      </c>
      <c r="D110" s="50"/>
      <c r="E110" s="76" t="s">
        <v>25</v>
      </c>
      <c r="F110" s="75">
        <f t="shared" si="30"/>
        <v>1.0442604461553735</v>
      </c>
      <c r="G110" s="50"/>
      <c r="H110" s="55" t="s">
        <v>43</v>
      </c>
      <c r="I110" s="56" t="s">
        <v>420</v>
      </c>
      <c r="J110" s="50"/>
      <c r="M110" s="50"/>
      <c r="N110" s="50"/>
      <c r="O110" s="50"/>
    </row>
    <row r="111" spans="2:16" ht="13.5" thickBot="1">
      <c r="B111" s="76" t="s">
        <v>548</v>
      </c>
      <c r="C111" s="75">
        <f t="shared" si="29"/>
        <v>1.3040426286601057</v>
      </c>
      <c r="D111" s="50"/>
      <c r="E111" s="76" t="s">
        <v>27</v>
      </c>
      <c r="F111" s="75">
        <f t="shared" si="30"/>
        <v>1.0111719998904392</v>
      </c>
      <c r="G111" s="50"/>
      <c r="H111" s="61" t="s">
        <v>54</v>
      </c>
      <c r="I111" s="49">
        <f>SUMIF('6. Markup Source Info'!AG6:AG64,"yes",'6. Markup Source Info'!AB6:AB64)/COUNTIF('6. Markup Source Info'!AG6:AG64,"yes")</f>
        <v>1.1256306573136345</v>
      </c>
      <c r="J111" s="50"/>
      <c r="M111" s="50"/>
      <c r="N111" s="50"/>
      <c r="O111" s="50"/>
    </row>
    <row r="112" spans="2:16" ht="13.5" thickBot="1">
      <c r="B112" s="76" t="s">
        <v>557</v>
      </c>
      <c r="C112" s="75">
        <f t="shared" si="29"/>
        <v>1.034233008682941</v>
      </c>
      <c r="D112" s="50"/>
      <c r="E112" s="76" t="s">
        <v>28</v>
      </c>
      <c r="F112" s="75">
        <f t="shared" si="30"/>
        <v>1.0162584742062919</v>
      </c>
      <c r="G112" s="50"/>
      <c r="H112" s="57" t="s">
        <v>39</v>
      </c>
      <c r="I112" s="58">
        <f>PRODUCT(I111,I109)</f>
        <v>1.3333567987466031</v>
      </c>
      <c r="J112" s="50"/>
      <c r="M112" s="50"/>
      <c r="N112" s="50"/>
      <c r="O112" s="50"/>
    </row>
    <row r="113" spans="2:8">
      <c r="B113" s="76"/>
      <c r="C113" s="75" t="str">
        <f t="shared" si="29"/>
        <v/>
      </c>
      <c r="E113" s="76"/>
      <c r="F113" s="75" t="str">
        <f t="shared" si="30"/>
        <v/>
      </c>
      <c r="H113" s="73" t="s">
        <v>406</v>
      </c>
    </row>
    <row r="114" spans="2:8">
      <c r="B114" s="76"/>
      <c r="C114" s="75" t="str">
        <f t="shared" si="29"/>
        <v/>
      </c>
      <c r="E114" s="76"/>
      <c r="F114" s="75" t="str">
        <f t="shared" si="30"/>
        <v/>
      </c>
    </row>
    <row r="115" spans="2:8">
      <c r="B115" s="76"/>
      <c r="C115" s="75" t="str">
        <f t="shared" si="29"/>
        <v/>
      </c>
      <c r="E115" s="76"/>
      <c r="F115" s="75" t="str">
        <f t="shared" si="30"/>
        <v/>
      </c>
    </row>
    <row r="116" spans="2:8">
      <c r="B116" s="76"/>
      <c r="C116" s="75" t="str">
        <f t="shared" si="29"/>
        <v/>
      </c>
      <c r="E116" s="76"/>
      <c r="F116" s="75" t="str">
        <f t="shared" si="30"/>
        <v/>
      </c>
    </row>
    <row r="117" spans="2:8">
      <c r="B117" s="76"/>
      <c r="C117" s="75" t="str">
        <f t="shared" si="29"/>
        <v/>
      </c>
      <c r="E117" s="76"/>
      <c r="F117" s="75" t="str">
        <f t="shared" si="30"/>
        <v/>
      </c>
    </row>
    <row r="118" spans="2:8">
      <c r="B118" s="76"/>
      <c r="C118" s="75" t="str">
        <f t="shared" si="29"/>
        <v/>
      </c>
      <c r="E118" s="76"/>
      <c r="F118" s="75" t="str">
        <f t="shared" si="30"/>
        <v/>
      </c>
    </row>
    <row r="119" spans="2:8">
      <c r="B119" s="76"/>
      <c r="C119" s="75" t="str">
        <f t="shared" si="29"/>
        <v/>
      </c>
      <c r="E119" s="76"/>
      <c r="F119" s="75" t="str">
        <f t="shared" si="30"/>
        <v/>
      </c>
    </row>
    <row r="120" spans="2:8">
      <c r="B120" s="76"/>
      <c r="C120" s="75" t="str">
        <f t="shared" si="29"/>
        <v/>
      </c>
      <c r="E120" s="76"/>
      <c r="F120" s="75" t="str">
        <f t="shared" si="30"/>
        <v/>
      </c>
    </row>
    <row r="121" spans="2:8" ht="13.5" thickBot="1">
      <c r="B121" s="77"/>
      <c r="C121" s="75" t="str">
        <f t="shared" si="29"/>
        <v/>
      </c>
      <c r="E121" s="77"/>
      <c r="F121" s="75" t="str">
        <f t="shared" si="30"/>
        <v/>
      </c>
    </row>
    <row r="122" spans="2:8" ht="13.5" thickBot="1">
      <c r="B122" s="51" t="s">
        <v>42</v>
      </c>
      <c r="C122" s="52">
        <f>AVERAGE(C109:C121)</f>
        <v>1.1507526065465243</v>
      </c>
      <c r="E122" s="62" t="s">
        <v>40</v>
      </c>
      <c r="F122" s="63" t="str">
        <f>CONCATENATE(E109,", ",E110,", ",E111,", ",E112)</f>
        <v>Arrow Electronics, Avnet, Bell Microproducts, Nu Horizons</v>
      </c>
      <c r="G122" s="29" t="s">
        <v>327</v>
      </c>
    </row>
    <row r="123" spans="2:8" ht="13.5" thickBot="1">
      <c r="B123" s="53" t="s">
        <v>40</v>
      </c>
      <c r="C123" s="54" t="str">
        <f>CONCATENATE(B109,", ",B110,", ",B111,", ",B112)</f>
        <v>General Electric, OCZ Technology, Schneider Electric (APC), Systemax (Ultra)</v>
      </c>
      <c r="D123" s="29" t="s">
        <v>327</v>
      </c>
      <c r="E123" s="57" t="s">
        <v>39</v>
      </c>
      <c r="F123" s="58">
        <f>AVERAGE(F109:F121)</f>
        <v>1.031296474083939</v>
      </c>
      <c r="G123" s="29" t="s">
        <v>327</v>
      </c>
    </row>
    <row r="124" spans="2:8">
      <c r="B124" s="55" t="s">
        <v>43</v>
      </c>
      <c r="C124" s="56" t="s">
        <v>420</v>
      </c>
    </row>
    <row r="125" spans="2:8">
      <c r="B125" s="74" t="s">
        <v>427</v>
      </c>
      <c r="C125" s="75">
        <f t="shared" ref="C125:C137" si="31">IF(B125="","",VLOOKUP(B125,Markups_Inc,28,FALSE))</f>
        <v>1.2711247874801748</v>
      </c>
    </row>
    <row r="126" spans="2:8">
      <c r="B126" s="76" t="s">
        <v>458</v>
      </c>
      <c r="C126" s="75">
        <f t="shared" si="31"/>
        <v>1.0678996523265634</v>
      </c>
    </row>
    <row r="127" spans="2:8">
      <c r="B127" s="76" t="s">
        <v>536</v>
      </c>
      <c r="C127" s="75">
        <f t="shared" si="31"/>
        <v>1.1728848255403146</v>
      </c>
    </row>
    <row r="128" spans="2:8">
      <c r="B128" s="76"/>
      <c r="C128" s="75" t="str">
        <f t="shared" si="31"/>
        <v/>
      </c>
    </row>
    <row r="129" spans="2:4">
      <c r="B129" s="76"/>
      <c r="C129" s="75" t="str">
        <f t="shared" si="31"/>
        <v/>
      </c>
    </row>
    <row r="130" spans="2:4">
      <c r="B130" s="76"/>
      <c r="C130" s="75" t="str">
        <f t="shared" si="31"/>
        <v/>
      </c>
    </row>
    <row r="131" spans="2:4">
      <c r="B131" s="76"/>
      <c r="C131" s="75" t="str">
        <f t="shared" si="31"/>
        <v/>
      </c>
    </row>
    <row r="132" spans="2:4">
      <c r="B132" s="76"/>
      <c r="C132" s="75" t="str">
        <f t="shared" si="31"/>
        <v/>
      </c>
    </row>
    <row r="133" spans="2:4">
      <c r="B133" s="76"/>
      <c r="C133" s="75" t="str">
        <f t="shared" si="31"/>
        <v/>
      </c>
    </row>
    <row r="134" spans="2:4">
      <c r="B134" s="76"/>
      <c r="C134" s="75" t="str">
        <f t="shared" si="31"/>
        <v/>
      </c>
    </row>
    <row r="135" spans="2:4">
      <c r="B135" s="76"/>
      <c r="C135" s="75" t="str">
        <f t="shared" si="31"/>
        <v/>
      </c>
    </row>
    <row r="136" spans="2:4">
      <c r="B136" s="76"/>
      <c r="C136" s="75" t="str">
        <f t="shared" si="31"/>
        <v/>
      </c>
    </row>
    <row r="137" spans="2:4" ht="13.5" thickBot="1">
      <c r="B137" s="77"/>
      <c r="C137" s="75" t="str">
        <f t="shared" si="31"/>
        <v/>
      </c>
    </row>
    <row r="138" spans="2:4">
      <c r="B138" s="51" t="s">
        <v>42</v>
      </c>
      <c r="C138" s="52">
        <f>AVERAGE(C125:C137)</f>
        <v>1.1706364217823508</v>
      </c>
    </row>
    <row r="139" spans="2:4" ht="13.5" thickBot="1">
      <c r="B139" s="64" t="s">
        <v>40</v>
      </c>
      <c r="C139" s="54" t="str">
        <f>CONCATENATE(B125,", ",B126,", ",B127)</f>
        <v>Amazon.com, Best Buy, Radioshack</v>
      </c>
      <c r="D139" s="29" t="s">
        <v>327</v>
      </c>
    </row>
    <row r="140" spans="2:4" ht="13.5" thickBot="1">
      <c r="B140" s="57" t="s">
        <v>39</v>
      </c>
      <c r="C140" s="58">
        <f>(C122*C138)</f>
        <v>1.3471129136843367</v>
      </c>
    </row>
  </sheetData>
  <mergeCells count="19">
    <mergeCell ref="B107:C107"/>
    <mergeCell ref="E107:F107"/>
    <mergeCell ref="H107:I107"/>
    <mergeCell ref="B37:C37"/>
    <mergeCell ref="E37:F37"/>
    <mergeCell ref="H37:I37"/>
    <mergeCell ref="K37:L37"/>
    <mergeCell ref="N37:O37"/>
    <mergeCell ref="B72:C72"/>
    <mergeCell ref="E72:F72"/>
    <mergeCell ref="H72:I72"/>
    <mergeCell ref="K72:L72"/>
    <mergeCell ref="N72:O72"/>
    <mergeCell ref="R2:V2"/>
    <mergeCell ref="B2:C2"/>
    <mergeCell ref="E2:F2"/>
    <mergeCell ref="H2:I2"/>
    <mergeCell ref="K2:L2"/>
    <mergeCell ref="N2:O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B1:F30"/>
  <sheetViews>
    <sheetView zoomScale="85" zoomScaleNormal="85" workbookViewId="0">
      <selection activeCell="F39" sqref="F39"/>
    </sheetView>
  </sheetViews>
  <sheetFormatPr defaultRowHeight="12.75"/>
  <cols>
    <col min="1" max="1" width="2.85546875" style="29" customWidth="1"/>
    <col min="2" max="2" width="29.140625" style="29" customWidth="1"/>
    <col min="3" max="4" width="31.28515625" style="29" bestFit="1" customWidth="1"/>
    <col min="5" max="5" width="25" style="29" bestFit="1" customWidth="1"/>
    <col min="6" max="6" width="26.7109375" style="29" customWidth="1"/>
    <col min="7" max="16384" width="9.140625" style="29"/>
  </cols>
  <sheetData>
    <row r="1" spans="2:6" ht="13.5" thickBot="1"/>
    <row r="2" spans="2:6">
      <c r="B2" s="157"/>
      <c r="C2" s="158"/>
      <c r="D2" s="158"/>
      <c r="E2" s="159"/>
      <c r="F2" s="160"/>
    </row>
    <row r="3" spans="2:6">
      <c r="B3" s="161" t="s">
        <v>56</v>
      </c>
      <c r="C3" s="162" t="s">
        <v>57</v>
      </c>
      <c r="D3" s="163" t="s">
        <v>58</v>
      </c>
      <c r="E3" s="164" t="s">
        <v>516</v>
      </c>
      <c r="F3" s="165" t="s">
        <v>59</v>
      </c>
    </row>
    <row r="4" spans="2:6">
      <c r="B4" s="166">
        <v>1</v>
      </c>
      <c r="C4" s="167" t="s">
        <v>61</v>
      </c>
      <c r="D4" s="168" t="s">
        <v>62</v>
      </c>
      <c r="E4" s="168">
        <v>14429720</v>
      </c>
      <c r="F4" s="169">
        <v>5.5500000000000001E-2</v>
      </c>
    </row>
    <row r="5" spans="2:6">
      <c r="B5" s="166">
        <v>2</v>
      </c>
      <c r="C5" s="167" t="s">
        <v>63</v>
      </c>
      <c r="D5" s="168" t="s">
        <v>64</v>
      </c>
      <c r="E5" s="168">
        <v>21312506</v>
      </c>
      <c r="F5" s="169">
        <v>6.6199999999999995E-2</v>
      </c>
    </row>
    <row r="6" spans="2:6">
      <c r="B6" s="166">
        <v>3</v>
      </c>
      <c r="C6" s="167" t="s">
        <v>65</v>
      </c>
      <c r="D6" s="168" t="s">
        <v>66</v>
      </c>
      <c r="E6" s="168">
        <v>46500668</v>
      </c>
      <c r="F6" s="169">
        <v>6.9400000000000003E-2</v>
      </c>
    </row>
    <row r="7" spans="2:6">
      <c r="B7" s="166">
        <v>4</v>
      </c>
      <c r="C7" s="167" t="s">
        <v>67</v>
      </c>
      <c r="D7" s="168" t="s">
        <v>68</v>
      </c>
      <c r="E7" s="168">
        <v>20336243</v>
      </c>
      <c r="F7" s="170">
        <v>6.8599999999999994E-2</v>
      </c>
    </row>
    <row r="8" spans="2:6">
      <c r="B8" s="166">
        <v>5</v>
      </c>
      <c r="C8" s="167" t="s">
        <v>69</v>
      </c>
      <c r="D8" s="168" t="s">
        <v>70</v>
      </c>
      <c r="E8" s="168">
        <v>40657961</v>
      </c>
      <c r="F8" s="170">
        <v>6.4399999999999999E-2</v>
      </c>
    </row>
    <row r="9" spans="2:6">
      <c r="B9" s="166">
        <v>6</v>
      </c>
      <c r="C9" s="167" t="s">
        <v>71</v>
      </c>
      <c r="D9" s="168" t="s">
        <v>72</v>
      </c>
      <c r="E9" s="168">
        <v>18271071</v>
      </c>
      <c r="F9" s="170">
        <v>7.8899999999999998E-2</v>
      </c>
    </row>
    <row r="10" spans="2:6">
      <c r="B10" s="171">
        <v>7</v>
      </c>
      <c r="C10" s="167" t="s">
        <v>73</v>
      </c>
      <c r="D10" s="168" t="s">
        <v>74</v>
      </c>
      <c r="E10" s="168">
        <v>11068576</v>
      </c>
      <c r="F10" s="170">
        <v>8.4199999999999997E-2</v>
      </c>
    </row>
    <row r="11" spans="2:6">
      <c r="B11" s="171">
        <v>8</v>
      </c>
      <c r="C11" s="167" t="s">
        <v>75</v>
      </c>
      <c r="D11" s="168" t="s">
        <v>76</v>
      </c>
      <c r="E11" s="168">
        <v>22122914</v>
      </c>
      <c r="F11" s="170">
        <v>6.5000000000000002E-2</v>
      </c>
    </row>
    <row r="12" spans="2:6">
      <c r="B12" s="171">
        <v>9</v>
      </c>
      <c r="C12" s="167" t="s">
        <v>77</v>
      </c>
      <c r="D12" s="168" t="s">
        <v>78</v>
      </c>
      <c r="E12" s="168">
        <v>12483503</v>
      </c>
      <c r="F12" s="170">
        <v>5.21E-2</v>
      </c>
    </row>
    <row r="13" spans="2:6">
      <c r="B13" s="171">
        <v>10</v>
      </c>
      <c r="C13" s="167" t="s">
        <v>79</v>
      </c>
      <c r="D13" s="168" t="s">
        <v>80</v>
      </c>
      <c r="E13" s="168">
        <v>19541453</v>
      </c>
      <c r="F13" s="170">
        <v>8.4500000000000006E-2</v>
      </c>
    </row>
    <row r="14" spans="2:6">
      <c r="B14" s="171">
        <v>11</v>
      </c>
      <c r="C14" s="167" t="s">
        <v>81</v>
      </c>
      <c r="D14" s="168" t="s">
        <v>82</v>
      </c>
      <c r="E14" s="168">
        <v>36961664</v>
      </c>
      <c r="F14" s="170">
        <v>9.1499999999999998E-2</v>
      </c>
    </row>
    <row r="15" spans="2:6">
      <c r="B15" s="171">
        <v>12</v>
      </c>
      <c r="C15" s="167" t="s">
        <v>83</v>
      </c>
      <c r="D15" s="168" t="s">
        <v>84</v>
      </c>
      <c r="E15" s="168">
        <v>24782302</v>
      </c>
      <c r="F15" s="170">
        <v>8.0500000000000002E-2</v>
      </c>
    </row>
    <row r="16" spans="2:6">
      <c r="B16" s="171">
        <v>13</v>
      </c>
      <c r="C16" s="167" t="s">
        <v>85</v>
      </c>
      <c r="D16" s="168" t="s">
        <v>86</v>
      </c>
      <c r="E16" s="168">
        <v>18537969</v>
      </c>
      <c r="F16" s="170">
        <v>6.7000000000000004E-2</v>
      </c>
    </row>
    <row r="17" spans="2:6" ht="13.5" thickBot="1">
      <c r="B17" s="172"/>
      <c r="C17" s="173" t="s">
        <v>629</v>
      </c>
      <c r="D17" s="174"/>
      <c r="E17" s="175">
        <v>307006550</v>
      </c>
      <c r="F17" s="176">
        <v>7.2300000000000003E-2</v>
      </c>
    </row>
    <row r="19" spans="2:6" ht="13.5" thickBot="1"/>
    <row r="20" spans="2:6">
      <c r="B20" s="1205" t="s">
        <v>60</v>
      </c>
      <c r="C20" s="1206"/>
    </row>
    <row r="21" spans="2:6" ht="12.75" customHeight="1">
      <c r="B21" s="1203" t="s">
        <v>637</v>
      </c>
      <c r="C21" s="1204"/>
    </row>
    <row r="22" spans="2:6">
      <c r="B22" s="1203"/>
      <c r="C22" s="1204"/>
    </row>
    <row r="23" spans="2:6" ht="13.5" customHeight="1">
      <c r="B23" s="1207" t="s">
        <v>636</v>
      </c>
      <c r="C23" s="1208"/>
    </row>
    <row r="24" spans="2:6">
      <c r="B24" s="1209"/>
      <c r="C24" s="1210"/>
    </row>
    <row r="25" spans="2:6">
      <c r="B25" s="1209"/>
      <c r="C25" s="1210"/>
    </row>
    <row r="26" spans="2:6" ht="13.5" thickBot="1">
      <c r="B26" s="1211"/>
      <c r="C26" s="1212"/>
    </row>
    <row r="30" spans="2:6" ht="15.75">
      <c r="D30" s="289"/>
    </row>
  </sheetData>
  <mergeCells count="3">
    <mergeCell ref="B21:C22"/>
    <mergeCell ref="B20:C20"/>
    <mergeCell ref="B23:C26"/>
  </mergeCells>
  <phoneticPr fontId="13" type="noConversion"/>
  <conditionalFormatting sqref="D30">
    <cfRule type="cellIs" dxfId="2" priority="1" stopIfTrue="1" operator="lessThan">
      <formula>$H30</formula>
    </cfRule>
  </conditionalFormatting>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26</vt:i4>
      </vt:variant>
    </vt:vector>
  </HeadingPairs>
  <TitlesOfParts>
    <vt:vector size="38" baseType="lpstr">
      <vt:lpstr>1. Instructions</vt:lpstr>
      <vt:lpstr>2. Shipments</vt:lpstr>
      <vt:lpstr>3. Lifetimes</vt:lpstr>
      <vt:lpstr>4. EPS Efficiency Distribution</vt:lpstr>
      <vt:lpstr>5. BC Efficiency NOPR</vt:lpstr>
      <vt:lpstr>6. Markup Source Info</vt:lpstr>
      <vt:lpstr>7. Base MUs by Prod Cat</vt:lpstr>
      <vt:lpstr>8. Incr MUs by Prod Cat</vt:lpstr>
      <vt:lpstr>9. Sales Tax</vt:lpstr>
      <vt:lpstr>10. EPS Outputs</vt:lpstr>
      <vt:lpstr>10. BC Outputs</vt:lpstr>
      <vt:lpstr>Bibliography</vt:lpstr>
      <vt:lpstr>App_num</vt:lpstr>
      <vt:lpstr>Application_num_bc</vt:lpstr>
      <vt:lpstr>BCEPSDistributors</vt:lpstr>
      <vt:lpstr>Check_PGE_bc</vt:lpstr>
      <vt:lpstr>Check0</vt:lpstr>
      <vt:lpstr>Check0_BC</vt:lpstr>
      <vt:lpstr>Check1</vt:lpstr>
      <vt:lpstr>Check1_BC</vt:lpstr>
      <vt:lpstr>Check2</vt:lpstr>
      <vt:lpstr>Check2_BC</vt:lpstr>
      <vt:lpstr>Check3</vt:lpstr>
      <vt:lpstr>Check3_BC</vt:lpstr>
      <vt:lpstr>Check4</vt:lpstr>
      <vt:lpstr>Company_Markups</vt:lpstr>
      <vt:lpstr>CompanyMarkups</vt:lpstr>
      <vt:lpstr>Distributors</vt:lpstr>
      <vt:lpstr>Distributors_Inc</vt:lpstr>
      <vt:lpstr>Distributors1</vt:lpstr>
      <vt:lpstr>Markups</vt:lpstr>
      <vt:lpstr>Markups_Inc</vt:lpstr>
      <vt:lpstr>PC_num_BC</vt:lpstr>
      <vt:lpstr>'7. Base MUs by Prod Cat'!Print_Area</vt:lpstr>
      <vt:lpstr>Product_Class</vt:lpstr>
      <vt:lpstr>Rep_num</vt:lpstr>
      <vt:lpstr>Results</vt:lpstr>
      <vt:lpstr>Results_bc</vt:lpstr>
    </vt:vector>
  </TitlesOfParts>
  <Company>DRINTL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Energy Conservation Standards for Battery Chargers and External Power Supplies - Preliminary Analysis Market Assessment and Markup Spreadsheet</dc:title>
  <dc:creator/>
  <cp:lastModifiedBy>Ari Reeves</cp:lastModifiedBy>
  <cp:lastPrinted>2010-11-17T19:43:17Z</cp:lastPrinted>
  <dcterms:created xsi:type="dcterms:W3CDTF">2009-07-30T13:07:03Z</dcterms:created>
  <dcterms:modified xsi:type="dcterms:W3CDTF">2012-04-16T20:06:53Z</dcterms:modified>
</cp:coreProperties>
</file>